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Dutcher01\Desktop\"/>
    </mc:Choice>
  </mc:AlternateContent>
  <xr:revisionPtr revIDLastSave="0" documentId="8_{3CC894C7-F60F-451A-82D8-E0100F5C9EF7}" xr6:coauthVersionLast="47" xr6:coauthVersionMax="47" xr10:uidLastSave="{00000000-0000-0000-0000-000000000000}"/>
  <bookViews>
    <workbookView xWindow="-15855" yWindow="8715" windowWidth="15840" windowHeight="11835" tabRatio="833" activeTab="4" xr2:uid="{64A861E2-78F4-4568-A736-EA3B658A8F41}"/>
  </bookViews>
  <sheets>
    <sheet name="Key" sheetId="148" r:id="rId1"/>
    <sheet name="IGT Commitment Suggestions" sheetId="102" r:id="rId2"/>
    <sheet name="Summary" sheetId="71" r:id="rId3"/>
    <sheet name="90% of ACR" sheetId="139" r:id="rId4"/>
    <sheet name="CHIRP Payment Calc" sheetId="1" r:id="rId5"/>
    <sheet name="FeeCalc" sheetId="170" r:id="rId6"/>
    <sheet name="2023 IP UPL Data" sheetId="171" r:id="rId7"/>
    <sheet name="2023 OP UPL Data" sheetId="172" r:id="rId8"/>
    <sheet name="2023 IMD UPL Data" sheetId="173" r:id="rId9"/>
    <sheet name="Total Dollars" sheetId="105" r:id="rId10"/>
    <sheet name="Final PGY4 AA Payment Summary" sheetId="83" state="hidden" r:id="rId11"/>
    <sheet name="MCO IMD Query from 2021 UPL" sheetId="87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0" localSheetId="10">#REF!</definedName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1\B">#REF!</definedName>
    <definedName name="_1_10_DSH_UPL_OP_COST">#REF!</definedName>
    <definedName name="_1_2005_BR_Provider_Totals">#REF!</definedName>
    <definedName name="_1Prov_Ident_Nbr_with_Suffi">#N/A</definedName>
    <definedName name="_2_10_DSH_UPL_OP_COST">#REF!</definedName>
    <definedName name="_2_DOCS">'[1]SFY 2008 DSH Urban TZG'!#REF!</definedName>
    <definedName name="_2Provider_City_Name">#N/A</definedName>
    <definedName name="_3Provider_Combined_Name">#N/A</definedName>
    <definedName name="_401_HHSC">#REF!</definedName>
    <definedName name="_4Provider_Street_Address_1">#N/A</definedName>
    <definedName name="_A">[2]A83I!#REF!</definedName>
    <definedName name="_DemoType">[3]LKUP!$F$7:$F$9</definedName>
    <definedName name="_FilingStatus">[4]LKUP!$N$7:$N$8</definedName>
    <definedName name="_Fill" localSheetId="8" hidden="1">#REF!</definedName>
    <definedName name="_Fill" localSheetId="6" hidden="1">#REF!</definedName>
    <definedName name="_Fill" localSheetId="7" hidden="1">#REF!</definedName>
    <definedName name="_Fill" localSheetId="3" hidden="1">#REF!</definedName>
    <definedName name="_Fill" localSheetId="10" hidden="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8" hidden="1">'2023 IMD UPL Data'!$A$2:$V$56</definedName>
    <definedName name="_xlnm._FilterDatabase" localSheetId="6" hidden="1">'2023 IP UPL Data'!$A$6:$N$435</definedName>
    <definedName name="_xlnm._FilterDatabase" localSheetId="7" hidden="1">'2023 OP UPL Data'!$A$6:$M$411</definedName>
    <definedName name="_xlnm._FilterDatabase" localSheetId="3" hidden="1">'90% of ACR'!$A$3:$R$60</definedName>
    <definedName name="_xlnm._FilterDatabase" localSheetId="4" hidden="1">'CHIRP Payment Calc'!$A$5:$BG$398</definedName>
    <definedName name="_xlnm._FilterDatabase" localSheetId="10" hidden="1">'Final PGY4 AA Payment Summary'!$A$1:$M$584</definedName>
    <definedName name="_xlnm._FilterDatabase" localSheetId="1" hidden="1">'IGT Commitment Suggestions'!$A$4:$G$17</definedName>
    <definedName name="_xlnm._FilterDatabase" localSheetId="2" hidden="1">Summary!$A$4:$Q$61</definedName>
    <definedName name="_InvalidTemplateDemoDateRange">[3]_Controls!$C$23</definedName>
    <definedName name="_OwnershipType">[3]LKUP!$H$7:$H$9</definedName>
    <definedName name="_RetroProType">[3]LKUP!$J$7:$J$8</definedName>
    <definedName name="_SDA2004">#N/A</definedName>
    <definedName name="_ServiceType">[3]LKUP!$D$7</definedName>
    <definedName name="_StateLkUp">[3]LKUP!$B$7:$B$60</definedName>
    <definedName name="_whatisthis" localSheetId="10">[5]DIS00!#REF!</definedName>
    <definedName name="_whatisthis">[5]DIS00!#REF!</definedName>
    <definedName name="a">#REF!</definedName>
    <definedName name="aaaaaa" localSheetId="10">[2]A83I!#REF!</definedName>
    <definedName name="aaaaaa">[2]A83I!#REF!</definedName>
    <definedName name="adj_fact" localSheetId="10">#REF!</definedName>
    <definedName name="adj_fact">#REF!</definedName>
    <definedName name="Admin">FeeCalc!$B$7</definedName>
    <definedName name="Aggregate_Cap_BR_Only">#REF!</definedName>
    <definedName name="Aggregate_Cap_BR_Only_2">#REF!</definedName>
    <definedName name="ahsc">#REF!</definedName>
    <definedName name="AHSC_NPI_Data">#REF!</definedName>
    <definedName name="AHSC_NPI_Sheet">#REF!</definedName>
    <definedName name="AHSC_NPI_TIN_name">#REF!</definedName>
    <definedName name="AHSC_UPL_Truven__TX">#REF!</definedName>
    <definedName name="All_SDAs_for_DSH_Hospital_Listing">#REF!</definedName>
    <definedName name="AP87_">#REF!</definedName>
    <definedName name="b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bbbb">[5]DIS00!#REF!</definedName>
    <definedName name="BBDRP5_8">#N/A</definedName>
    <definedName name="BBDRREST">#N/A</definedName>
    <definedName name="BexarTotal">'[6]Bexar Actuarial Adjustment'!$M$19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ccccc" localSheetId="8" hidden="1">#REF!</definedName>
    <definedName name="ccccc" localSheetId="6" hidden="1">#REF!</definedName>
    <definedName name="ccccc" localSheetId="7" hidden="1">#REF!</definedName>
    <definedName name="ccccc" localSheetId="3" hidden="1">#REF!</definedName>
    <definedName name="ccccc" localSheetId="10" hidden="1">#REF!</definedName>
    <definedName name="ccccc" localSheetId="1" hidden="1">#REF!</definedName>
    <definedName name="ccccc" localSheetId="2" hidden="1">#REF!</definedName>
    <definedName name="ccccc" hidden="1">#REF!</definedName>
    <definedName name="cccccc" localSheetId="10">[5]DIS00!#REF!</definedName>
    <definedName name="cccccc">[5]DIS00!#REF!</definedName>
    <definedName name="combined_cap" localSheetId="10">#REF!</definedName>
    <definedName name="combined_cap">#REF!</definedName>
    <definedName name="Component_3_data">#REF!</definedName>
    <definedName name="COUNTY">#N/A</definedName>
    <definedName name="Create_Summary_by_TPI" localSheetId="10">#REF!</definedName>
    <definedName name="Create_Summary_by_TPI">#REF!</definedName>
    <definedName name="_xlnm.Database">#REF!</definedName>
    <definedName name="Documentation">'[7]3 - Review Tracker'!#REF!</definedName>
    <definedName name="DSH_Flag">[7]Checks!$L$3</definedName>
    <definedName name="DSH_IND">[8]Checks!$J$3</definedName>
    <definedName name="DV_Rule_2">[3]LKUP!$O$8</definedName>
    <definedName name="DV_Rule_3">[3]LKUP!$O$9</definedName>
    <definedName name="DV_Rule_4">[3]LKUP!$O$10</definedName>
    <definedName name="DV_Rule_5">[3]LKUP!$O$11</definedName>
    <definedName name="DY_Begin">'[9]Austin Summary'!$N$22</definedName>
    <definedName name="DY_End">'[9]Austin Summary'!$P$22</definedName>
    <definedName name="eeeeee" localSheetId="10">#REF!</definedName>
    <definedName name="eeeeee">#REF!</definedName>
    <definedName name="Estimated_HSL">'[10]Estimated HSL FFY 2011'!$A$2:$D$185</definedName>
    <definedName name="ExportDataSource" localSheetId="10">#REF!</definedName>
    <definedName name="ExportDataSource">#REF!</definedName>
    <definedName name="fdsfd">#REF!</definedName>
    <definedName name="fff">#REF!</definedName>
    <definedName name="Final_Datasheet_03_05_2013">#REF!</definedName>
    <definedName name="FMAP_StateShr" localSheetId="5">'[11]Application Fee'!#REF!</definedName>
    <definedName name="FMAP_StateShr">'CHIRP Payment Calc'!$AQ$3</definedName>
    <definedName name="GENERAL">#REF!</definedName>
    <definedName name="HOME">#REF!</definedName>
    <definedName name="HospitalClass">'[12]Hospital Classes'!$B$2:$B$9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IMD_Count">[3]_Controls!$C$3</definedName>
    <definedName name="IME_NPI_Data">#REF!</definedName>
    <definedName name="IME_NPI_Sheet">#REF!</definedName>
    <definedName name="IME_NPI_TIN_name">#REF!</definedName>
    <definedName name="IME_UPL_Truven__TX">#REF!</definedName>
    <definedName name="imppuf_091001">#REF!</definedName>
    <definedName name="inf_0304">#REF!</definedName>
    <definedName name="inf_0405">#REF!</definedName>
    <definedName name="INRR_614_PRELIM">#REF!</definedName>
    <definedName name="INRR_614_W_EFFECTIVE_DATES">#REF!</definedName>
    <definedName name="INRR_625B">#REF!</definedName>
    <definedName name="INRR615__PROV_PDI_PRELIM_4">#REF!</definedName>
    <definedName name="INRR625_DRGS">#REF!</definedName>
    <definedName name="INRR625D_080310">#REF!</definedName>
    <definedName name="LINE69">#REF!</definedName>
    <definedName name="MCO_AdminFee" localSheetId="5">#REF!</definedName>
    <definedName name="MCO_AdminFee">#REF!</definedName>
    <definedName name="MCO_PremiumTax" localSheetId="5">#REF!</definedName>
    <definedName name="MCO_PremiumTax">#REF!</definedName>
    <definedName name="nbdgd">#REF!</definedName>
    <definedName name="NPI_Ind">[8]Checks!$F$35</definedName>
    <definedName name="OffsetValue">#REF!</definedName>
    <definedName name="Ownership_List" localSheetId="10">#REF!</definedName>
    <definedName name="Ownership_List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ayment_Count">[13]_Controls!$C$4</definedName>
    <definedName name="PG1BDR">#N/A</definedName>
    <definedName name="PG2_4BDR">#REF!</definedName>
    <definedName name="PG5_8BDR">#REF!</definedName>
    <definedName name="Premium_Tax">FeeCalc!$B$8</definedName>
    <definedName name="_xlnm.Print_Area">#REF!</definedName>
    <definedName name="Print_Area_1">#REF!</definedName>
    <definedName name="Print_Area_MI">#REF!</definedName>
    <definedName name="_xlnm.Print_Titles">#REF!</definedName>
    <definedName name="Q02a___Rebasing_TPI_Rural_Cnt">#REF!</definedName>
    <definedName name="qry_OP_UPL">#REF!</definedName>
    <definedName name="qry_total_IP_days">#REF!</definedName>
    <definedName name="regions">#REF!</definedName>
    <definedName name="RENAL">#REF!</definedName>
    <definedName name="RESTBDR">#REF!</definedName>
    <definedName name="Risk_Margin___STAR">FeeCalc!$B$5</definedName>
    <definedName name="Risk_Margin___STAR_PLUS">FeeCalc!$B$6</definedName>
    <definedName name="RiskMargin_STAR" localSheetId="5">#REF!</definedName>
    <definedName name="RiskMargin_STAR">#REF!</definedName>
    <definedName name="RiskMargin_STARPLUS" localSheetId="5">#REF!</definedName>
    <definedName name="RiskMargin_STARPLUS">#REF!</definedName>
    <definedName name="rrrrrr">#REF!</definedName>
    <definedName name="SCH1A">#REF!</definedName>
    <definedName name="SDA_RATES_FOR_MAILOUT_II">#REF!</definedName>
    <definedName name="selection_adj">[14]Assumptions!$L$25</definedName>
    <definedName name="sort1_beg" localSheetId="10">#REF!</definedName>
    <definedName name="sort1_beg">#REF!</definedName>
    <definedName name="sort1_col">#REF!</definedName>
    <definedName name="sort1_end">#REF!</definedName>
    <definedName name="sort10_beg">#REF!</definedName>
    <definedName name="sort10_col">#REF!</definedName>
    <definedName name="sort10_end">#REF!</definedName>
    <definedName name="sort11_beg">#REF!</definedName>
    <definedName name="sort11_col">#REF!</definedName>
    <definedName name="sort11_end">#REF!</definedName>
    <definedName name="sort2_beg">#REF!</definedName>
    <definedName name="sort2_col">#REF!</definedName>
    <definedName name="sort2_end">#REF!</definedName>
    <definedName name="sort3_beg">#REF!</definedName>
    <definedName name="sort3_col">#REF!</definedName>
    <definedName name="sort3_end">#REF!</definedName>
    <definedName name="sort4_beg">#REF!</definedName>
    <definedName name="sort4_col">#REF!</definedName>
    <definedName name="sort4_end">#REF!</definedName>
    <definedName name="sort5_beg">#REF!</definedName>
    <definedName name="sort5_col">#REF!</definedName>
    <definedName name="sort5_end">#REF!</definedName>
    <definedName name="sort6_beg">#REF!</definedName>
    <definedName name="sort6_col">#REF!</definedName>
    <definedName name="sort6_end">#REF!</definedName>
    <definedName name="sort7_beg">#REF!</definedName>
    <definedName name="sort7_col">#REF!</definedName>
    <definedName name="sort7_end">#REF!</definedName>
    <definedName name="sort8_beg">#REF!</definedName>
    <definedName name="sort8_col">#REF!</definedName>
    <definedName name="sort8_end">#REF!</definedName>
    <definedName name="sort9_beg">#REF!</definedName>
    <definedName name="sort9_col">#REF!</definedName>
    <definedName name="sort9_end">#REF!</definedName>
    <definedName name="STAR_Fee" localSheetId="5">#REF!</definedName>
    <definedName name="STAR_Fee">#REF!</definedName>
    <definedName name="STAR_MCO_Factor">[15]assumptions!$B$7</definedName>
    <definedName name="STARPLUS_Fee" localSheetId="5">#REF!</definedName>
    <definedName name="STARPLUS_Fee">#REF!</definedName>
    <definedName name="STARPLUS_MCO_Factor">[15]assumptions!$B$8</definedName>
    <definedName name="STATE_OWNED_with_Outlier_and_Inflation" localSheetId="10">#REF!</definedName>
    <definedName name="STATE_OWNED_with_Outlier_and_Inflation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  <definedName name="tm_4093645015">#REF!</definedName>
    <definedName name="tm_4093645264">#REF!</definedName>
    <definedName name="tm_4093645314">#REF!</definedName>
    <definedName name="tm_4093645323">#REF!</definedName>
    <definedName name="tm_4093645391">#REF!</definedName>
    <definedName name="tm_4093645417">#REF!</definedName>
    <definedName name="tm_4093645453">#REF!</definedName>
    <definedName name="tm_4093645454">#REF!</definedName>
    <definedName name="Total___STAR">FeeCalc!$B$10</definedName>
    <definedName name="Total___STAR_PLUS">FeeCalc!$B$11</definedName>
    <definedName name="TotalActiveRecords">[3]_Controls!$C$4</definedName>
    <definedName name="Traditional_Settlements_Between_1_1_2011___12_31_2011_Rebasing">#REF!</definedName>
    <definedName name="Traditional_Settlements_Between_1_1_2012___12_31_2012">#REF!</definedName>
    <definedName name="Traditional_Settlements_Between_10_1_2013___9_30_2014" localSheetId="10">'[16] Cost Report Settlements'!#REF!</definedName>
    <definedName name="Traditional_Settlements_Between_10_1_2013___9_30_2014">'[16] Cost Report Settlements'!#REF!</definedName>
    <definedName name="trend">[14]Assumptions!$A$14:$D$19</definedName>
    <definedName name="tttttt" localSheetId="10">#REF!</definedName>
    <definedName name="tttttt">#REF!</definedName>
    <definedName name="UP">#REF!</definedName>
    <definedName name="YEAR_BEGIN_1">'[10]DSH Year Totals'!$A$4</definedName>
    <definedName name="YEAR_END_1">'[10]DSH Year Totals'!$B$4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1" i="172" l="1"/>
  <c r="M411" i="172" s="1"/>
  <c r="K410" i="172"/>
  <c r="M410" i="172" s="1"/>
  <c r="K409" i="172"/>
  <c r="M409" i="172" s="1"/>
  <c r="K408" i="172"/>
  <c r="M408" i="172" s="1"/>
  <c r="K407" i="172"/>
  <c r="M407" i="172" s="1"/>
  <c r="K406" i="172"/>
  <c r="M406" i="172" s="1"/>
  <c r="K405" i="172"/>
  <c r="M405" i="172" s="1"/>
  <c r="K404" i="172"/>
  <c r="M404" i="172" s="1"/>
  <c r="K403" i="172"/>
  <c r="M403" i="172" s="1"/>
  <c r="K402" i="172"/>
  <c r="M402" i="172" s="1"/>
  <c r="K401" i="172"/>
  <c r="M401" i="172" s="1"/>
  <c r="K400" i="172"/>
  <c r="M400" i="172" s="1"/>
  <c r="K399" i="172"/>
  <c r="M399" i="172" s="1"/>
  <c r="K398" i="172"/>
  <c r="M398" i="172" s="1"/>
  <c r="K397" i="172"/>
  <c r="M397" i="172" s="1"/>
  <c r="K396" i="172"/>
  <c r="M396" i="172" s="1"/>
  <c r="K395" i="172"/>
  <c r="M395" i="172" s="1"/>
  <c r="K394" i="172"/>
  <c r="M394" i="172" s="1"/>
  <c r="K393" i="172"/>
  <c r="M393" i="172" s="1"/>
  <c r="K392" i="172"/>
  <c r="M392" i="172" s="1"/>
  <c r="K391" i="172"/>
  <c r="M391" i="172" s="1"/>
  <c r="K390" i="172"/>
  <c r="M390" i="172" s="1"/>
  <c r="K389" i="172"/>
  <c r="M389" i="172" s="1"/>
  <c r="K388" i="172"/>
  <c r="M388" i="172" s="1"/>
  <c r="K387" i="172"/>
  <c r="M387" i="172" s="1"/>
  <c r="K386" i="172"/>
  <c r="M386" i="172" s="1"/>
  <c r="K385" i="172"/>
  <c r="M385" i="172" s="1"/>
  <c r="K384" i="172"/>
  <c r="M384" i="172" s="1"/>
  <c r="K383" i="172"/>
  <c r="M383" i="172" s="1"/>
  <c r="K382" i="172"/>
  <c r="M382" i="172" s="1"/>
  <c r="K381" i="172"/>
  <c r="M381" i="172" s="1"/>
  <c r="K380" i="172"/>
  <c r="M380" i="172" s="1"/>
  <c r="K379" i="172"/>
  <c r="M379" i="172" s="1"/>
  <c r="K378" i="172"/>
  <c r="M378" i="172" s="1"/>
  <c r="K377" i="172"/>
  <c r="M377" i="172" s="1"/>
  <c r="K376" i="172"/>
  <c r="M376" i="172" s="1"/>
  <c r="K375" i="172"/>
  <c r="M375" i="172" s="1"/>
  <c r="K374" i="172"/>
  <c r="M374" i="172" s="1"/>
  <c r="K373" i="172"/>
  <c r="M373" i="172" s="1"/>
  <c r="K372" i="172"/>
  <c r="M372" i="172" s="1"/>
  <c r="K371" i="172"/>
  <c r="M371" i="172" s="1"/>
  <c r="K370" i="172"/>
  <c r="M370" i="172" s="1"/>
  <c r="K369" i="172"/>
  <c r="M369" i="172" s="1"/>
  <c r="K368" i="172"/>
  <c r="M368" i="172" s="1"/>
  <c r="K367" i="172"/>
  <c r="M367" i="172" s="1"/>
  <c r="K366" i="172"/>
  <c r="M366" i="172" s="1"/>
  <c r="K365" i="172"/>
  <c r="M365" i="172" s="1"/>
  <c r="K364" i="172"/>
  <c r="M364" i="172" s="1"/>
  <c r="K363" i="172"/>
  <c r="M363" i="172" s="1"/>
  <c r="K362" i="172"/>
  <c r="M362" i="172" s="1"/>
  <c r="K361" i="172"/>
  <c r="M361" i="172" s="1"/>
  <c r="K360" i="172"/>
  <c r="M360" i="172" s="1"/>
  <c r="K359" i="172"/>
  <c r="M359" i="172" s="1"/>
  <c r="K358" i="172"/>
  <c r="M358" i="172" s="1"/>
  <c r="K357" i="172"/>
  <c r="M357" i="172" s="1"/>
  <c r="K356" i="172"/>
  <c r="M356" i="172" s="1"/>
  <c r="K355" i="172"/>
  <c r="M355" i="172" s="1"/>
  <c r="K354" i="172"/>
  <c r="M354" i="172" s="1"/>
  <c r="K353" i="172"/>
  <c r="M353" i="172" s="1"/>
  <c r="K352" i="172"/>
  <c r="M352" i="172" s="1"/>
  <c r="K351" i="172"/>
  <c r="M351" i="172" s="1"/>
  <c r="K350" i="172"/>
  <c r="M350" i="172" s="1"/>
  <c r="K349" i="172"/>
  <c r="M349" i="172" s="1"/>
  <c r="K348" i="172"/>
  <c r="M348" i="172" s="1"/>
  <c r="K347" i="172"/>
  <c r="M347" i="172" s="1"/>
  <c r="K346" i="172"/>
  <c r="M346" i="172" s="1"/>
  <c r="K345" i="172"/>
  <c r="M345" i="172" s="1"/>
  <c r="K344" i="172"/>
  <c r="M344" i="172" s="1"/>
  <c r="K343" i="172"/>
  <c r="M343" i="172" s="1"/>
  <c r="K342" i="172"/>
  <c r="M342" i="172" s="1"/>
  <c r="K341" i="172"/>
  <c r="M341" i="172" s="1"/>
  <c r="K340" i="172"/>
  <c r="M340" i="172" s="1"/>
  <c r="K339" i="172"/>
  <c r="M339" i="172" s="1"/>
  <c r="K338" i="172"/>
  <c r="M338" i="172" s="1"/>
  <c r="K337" i="172"/>
  <c r="M337" i="172" s="1"/>
  <c r="K336" i="172"/>
  <c r="M336" i="172" s="1"/>
  <c r="K335" i="172"/>
  <c r="M335" i="172" s="1"/>
  <c r="K334" i="172"/>
  <c r="M334" i="172" s="1"/>
  <c r="K333" i="172"/>
  <c r="M333" i="172" s="1"/>
  <c r="K332" i="172"/>
  <c r="M332" i="172" s="1"/>
  <c r="K331" i="172"/>
  <c r="M331" i="172" s="1"/>
  <c r="K330" i="172"/>
  <c r="M330" i="172" s="1"/>
  <c r="K329" i="172"/>
  <c r="M329" i="172" s="1"/>
  <c r="K328" i="172"/>
  <c r="M328" i="172" s="1"/>
  <c r="K327" i="172"/>
  <c r="M327" i="172" s="1"/>
  <c r="K326" i="172"/>
  <c r="M326" i="172" s="1"/>
  <c r="K325" i="172"/>
  <c r="M325" i="172" s="1"/>
  <c r="K324" i="172"/>
  <c r="M324" i="172" s="1"/>
  <c r="K323" i="172"/>
  <c r="M323" i="172" s="1"/>
  <c r="K322" i="172"/>
  <c r="M322" i="172" s="1"/>
  <c r="K321" i="172"/>
  <c r="M321" i="172" s="1"/>
  <c r="K320" i="172"/>
  <c r="M320" i="172" s="1"/>
  <c r="K319" i="172"/>
  <c r="M319" i="172" s="1"/>
  <c r="K318" i="172"/>
  <c r="M318" i="172" s="1"/>
  <c r="K317" i="172"/>
  <c r="M317" i="172" s="1"/>
  <c r="K316" i="172"/>
  <c r="M316" i="172" s="1"/>
  <c r="K315" i="172"/>
  <c r="M315" i="172" s="1"/>
  <c r="K314" i="172"/>
  <c r="M314" i="172" s="1"/>
  <c r="K313" i="172"/>
  <c r="M313" i="172" s="1"/>
  <c r="K312" i="172"/>
  <c r="M312" i="172" s="1"/>
  <c r="K311" i="172"/>
  <c r="M311" i="172" s="1"/>
  <c r="K310" i="172"/>
  <c r="M310" i="172" s="1"/>
  <c r="K309" i="172"/>
  <c r="M309" i="172" s="1"/>
  <c r="K308" i="172"/>
  <c r="M308" i="172" s="1"/>
  <c r="K307" i="172"/>
  <c r="M307" i="172" s="1"/>
  <c r="K306" i="172"/>
  <c r="M306" i="172" s="1"/>
  <c r="K305" i="172"/>
  <c r="M305" i="172" s="1"/>
  <c r="K304" i="172"/>
  <c r="M304" i="172" s="1"/>
  <c r="K303" i="172"/>
  <c r="M303" i="172" s="1"/>
  <c r="K302" i="172"/>
  <c r="M302" i="172" s="1"/>
  <c r="K301" i="172"/>
  <c r="M301" i="172" s="1"/>
  <c r="K300" i="172"/>
  <c r="M300" i="172" s="1"/>
  <c r="K299" i="172"/>
  <c r="M299" i="172" s="1"/>
  <c r="K298" i="172"/>
  <c r="M298" i="172" s="1"/>
  <c r="K297" i="172"/>
  <c r="M297" i="172" s="1"/>
  <c r="K296" i="172"/>
  <c r="M296" i="172" s="1"/>
  <c r="K295" i="172"/>
  <c r="M295" i="172" s="1"/>
  <c r="K294" i="172"/>
  <c r="M294" i="172" s="1"/>
  <c r="K293" i="172"/>
  <c r="M293" i="172" s="1"/>
  <c r="K292" i="172"/>
  <c r="M292" i="172" s="1"/>
  <c r="K291" i="172"/>
  <c r="M291" i="172" s="1"/>
  <c r="K290" i="172"/>
  <c r="M290" i="172" s="1"/>
  <c r="K289" i="172"/>
  <c r="M289" i="172" s="1"/>
  <c r="K288" i="172"/>
  <c r="M288" i="172" s="1"/>
  <c r="K287" i="172"/>
  <c r="M287" i="172" s="1"/>
  <c r="K286" i="172"/>
  <c r="M286" i="172" s="1"/>
  <c r="K285" i="172"/>
  <c r="M285" i="172" s="1"/>
  <c r="K284" i="172"/>
  <c r="M284" i="172" s="1"/>
  <c r="K283" i="172"/>
  <c r="M283" i="172" s="1"/>
  <c r="K282" i="172"/>
  <c r="M282" i="172" s="1"/>
  <c r="K281" i="172"/>
  <c r="M281" i="172" s="1"/>
  <c r="K280" i="172"/>
  <c r="M280" i="172" s="1"/>
  <c r="K279" i="172"/>
  <c r="M279" i="172" s="1"/>
  <c r="K278" i="172"/>
  <c r="M278" i="172" s="1"/>
  <c r="K277" i="172"/>
  <c r="M277" i="172" s="1"/>
  <c r="K276" i="172"/>
  <c r="M276" i="172" s="1"/>
  <c r="K275" i="172"/>
  <c r="M275" i="172" s="1"/>
  <c r="K274" i="172"/>
  <c r="M274" i="172" s="1"/>
  <c r="K273" i="172"/>
  <c r="M273" i="172" s="1"/>
  <c r="K272" i="172"/>
  <c r="M272" i="172" s="1"/>
  <c r="K271" i="172"/>
  <c r="M271" i="172" s="1"/>
  <c r="K270" i="172"/>
  <c r="M270" i="172" s="1"/>
  <c r="K269" i="172"/>
  <c r="M269" i="172" s="1"/>
  <c r="K268" i="172"/>
  <c r="M268" i="172" s="1"/>
  <c r="K267" i="172"/>
  <c r="M267" i="172" s="1"/>
  <c r="K266" i="172"/>
  <c r="M266" i="172" s="1"/>
  <c r="K265" i="172"/>
  <c r="M265" i="172" s="1"/>
  <c r="K264" i="172"/>
  <c r="M264" i="172" s="1"/>
  <c r="K263" i="172"/>
  <c r="M263" i="172" s="1"/>
  <c r="K262" i="172"/>
  <c r="M262" i="172" s="1"/>
  <c r="K261" i="172"/>
  <c r="M261" i="172" s="1"/>
  <c r="K260" i="172"/>
  <c r="M260" i="172" s="1"/>
  <c r="K259" i="172"/>
  <c r="M259" i="172" s="1"/>
  <c r="K258" i="172"/>
  <c r="M258" i="172" s="1"/>
  <c r="K257" i="172"/>
  <c r="M257" i="172" s="1"/>
  <c r="K256" i="172"/>
  <c r="M256" i="172" s="1"/>
  <c r="K255" i="172"/>
  <c r="M255" i="172" s="1"/>
  <c r="K254" i="172"/>
  <c r="M254" i="172" s="1"/>
  <c r="K253" i="172"/>
  <c r="M253" i="172" s="1"/>
  <c r="K252" i="172"/>
  <c r="M252" i="172" s="1"/>
  <c r="K251" i="172"/>
  <c r="M251" i="172" s="1"/>
  <c r="K250" i="172"/>
  <c r="M250" i="172" s="1"/>
  <c r="K249" i="172"/>
  <c r="M249" i="172" s="1"/>
  <c r="K248" i="172"/>
  <c r="M248" i="172" s="1"/>
  <c r="K247" i="172"/>
  <c r="M247" i="172" s="1"/>
  <c r="K246" i="172"/>
  <c r="M246" i="172" s="1"/>
  <c r="K245" i="172"/>
  <c r="M245" i="172" s="1"/>
  <c r="K244" i="172"/>
  <c r="M244" i="172" s="1"/>
  <c r="K243" i="172"/>
  <c r="M243" i="172" s="1"/>
  <c r="K242" i="172"/>
  <c r="M242" i="172" s="1"/>
  <c r="K241" i="172"/>
  <c r="M241" i="172" s="1"/>
  <c r="K240" i="172"/>
  <c r="M240" i="172" s="1"/>
  <c r="K239" i="172"/>
  <c r="M239" i="172" s="1"/>
  <c r="K238" i="172"/>
  <c r="M238" i="172" s="1"/>
  <c r="K237" i="172"/>
  <c r="M237" i="172" s="1"/>
  <c r="K236" i="172"/>
  <c r="M236" i="172" s="1"/>
  <c r="K235" i="172"/>
  <c r="M235" i="172" s="1"/>
  <c r="K234" i="172"/>
  <c r="M234" i="172" s="1"/>
  <c r="K233" i="172"/>
  <c r="M233" i="172" s="1"/>
  <c r="K232" i="172"/>
  <c r="M232" i="172" s="1"/>
  <c r="K231" i="172"/>
  <c r="M231" i="172" s="1"/>
  <c r="K230" i="172"/>
  <c r="M230" i="172" s="1"/>
  <c r="K229" i="172"/>
  <c r="M229" i="172" s="1"/>
  <c r="K228" i="172"/>
  <c r="M228" i="172" s="1"/>
  <c r="K227" i="172"/>
  <c r="M227" i="172" s="1"/>
  <c r="K226" i="172"/>
  <c r="M226" i="172" s="1"/>
  <c r="K225" i="172"/>
  <c r="M225" i="172" s="1"/>
  <c r="K224" i="172"/>
  <c r="M224" i="172" s="1"/>
  <c r="K223" i="172"/>
  <c r="M223" i="172" s="1"/>
  <c r="K222" i="172"/>
  <c r="M222" i="172" s="1"/>
  <c r="K221" i="172"/>
  <c r="M221" i="172" s="1"/>
  <c r="K220" i="172"/>
  <c r="M220" i="172" s="1"/>
  <c r="K219" i="172"/>
  <c r="M219" i="172" s="1"/>
  <c r="K218" i="172"/>
  <c r="M218" i="172" s="1"/>
  <c r="K217" i="172"/>
  <c r="M217" i="172" s="1"/>
  <c r="K216" i="172"/>
  <c r="M216" i="172" s="1"/>
  <c r="K215" i="172"/>
  <c r="M215" i="172" s="1"/>
  <c r="K214" i="172"/>
  <c r="M214" i="172" s="1"/>
  <c r="K213" i="172"/>
  <c r="M213" i="172" s="1"/>
  <c r="K212" i="172"/>
  <c r="M212" i="172" s="1"/>
  <c r="K211" i="172"/>
  <c r="M211" i="172" s="1"/>
  <c r="K210" i="172"/>
  <c r="M210" i="172" s="1"/>
  <c r="K209" i="172"/>
  <c r="M209" i="172" s="1"/>
  <c r="K208" i="172"/>
  <c r="M208" i="172" s="1"/>
  <c r="K207" i="172"/>
  <c r="M207" i="172" s="1"/>
  <c r="K206" i="172"/>
  <c r="M206" i="172" s="1"/>
  <c r="K205" i="172"/>
  <c r="M205" i="172" s="1"/>
  <c r="K204" i="172"/>
  <c r="M204" i="172" s="1"/>
  <c r="K203" i="172"/>
  <c r="M203" i="172" s="1"/>
  <c r="K202" i="172"/>
  <c r="M202" i="172" s="1"/>
  <c r="K201" i="172"/>
  <c r="M201" i="172" s="1"/>
  <c r="K200" i="172"/>
  <c r="M200" i="172" s="1"/>
  <c r="K199" i="172"/>
  <c r="M199" i="172" s="1"/>
  <c r="K198" i="172"/>
  <c r="M198" i="172" s="1"/>
  <c r="K197" i="172"/>
  <c r="M197" i="172" s="1"/>
  <c r="K196" i="172"/>
  <c r="M196" i="172" s="1"/>
  <c r="K195" i="172"/>
  <c r="M195" i="172" s="1"/>
  <c r="K194" i="172"/>
  <c r="M194" i="172" s="1"/>
  <c r="K193" i="172"/>
  <c r="M193" i="172" s="1"/>
  <c r="K192" i="172"/>
  <c r="M192" i="172" s="1"/>
  <c r="K191" i="172"/>
  <c r="M191" i="172" s="1"/>
  <c r="K190" i="172"/>
  <c r="M190" i="172" s="1"/>
  <c r="K189" i="172"/>
  <c r="M189" i="172" s="1"/>
  <c r="K188" i="172"/>
  <c r="M188" i="172" s="1"/>
  <c r="K187" i="172"/>
  <c r="M187" i="172" s="1"/>
  <c r="K186" i="172"/>
  <c r="M186" i="172" s="1"/>
  <c r="K185" i="172"/>
  <c r="M185" i="172" s="1"/>
  <c r="K184" i="172"/>
  <c r="M184" i="172" s="1"/>
  <c r="K183" i="172"/>
  <c r="M183" i="172" s="1"/>
  <c r="K182" i="172"/>
  <c r="M182" i="172" s="1"/>
  <c r="K181" i="172"/>
  <c r="M181" i="172" s="1"/>
  <c r="K180" i="172"/>
  <c r="M180" i="172" s="1"/>
  <c r="K179" i="172"/>
  <c r="M179" i="172" s="1"/>
  <c r="K178" i="172"/>
  <c r="M178" i="172" s="1"/>
  <c r="K177" i="172"/>
  <c r="M177" i="172" s="1"/>
  <c r="K176" i="172"/>
  <c r="M176" i="172" s="1"/>
  <c r="K175" i="172"/>
  <c r="M175" i="172" s="1"/>
  <c r="K174" i="172"/>
  <c r="M174" i="172" s="1"/>
  <c r="K173" i="172"/>
  <c r="M173" i="172" s="1"/>
  <c r="K172" i="172"/>
  <c r="M172" i="172" s="1"/>
  <c r="K171" i="172"/>
  <c r="M171" i="172" s="1"/>
  <c r="K170" i="172"/>
  <c r="M170" i="172" s="1"/>
  <c r="K169" i="172"/>
  <c r="M169" i="172" s="1"/>
  <c r="K168" i="172"/>
  <c r="M168" i="172" s="1"/>
  <c r="K167" i="172"/>
  <c r="M167" i="172" s="1"/>
  <c r="K166" i="172"/>
  <c r="M166" i="172" s="1"/>
  <c r="K165" i="172"/>
  <c r="M165" i="172" s="1"/>
  <c r="K164" i="172"/>
  <c r="M164" i="172" s="1"/>
  <c r="K163" i="172"/>
  <c r="M163" i="172" s="1"/>
  <c r="K162" i="172"/>
  <c r="M162" i="172" s="1"/>
  <c r="K161" i="172"/>
  <c r="M161" i="172" s="1"/>
  <c r="K160" i="172"/>
  <c r="M160" i="172" s="1"/>
  <c r="K159" i="172"/>
  <c r="M159" i="172" s="1"/>
  <c r="K158" i="172"/>
  <c r="M158" i="172" s="1"/>
  <c r="K157" i="172"/>
  <c r="M157" i="172" s="1"/>
  <c r="K156" i="172"/>
  <c r="M156" i="172" s="1"/>
  <c r="K155" i="172"/>
  <c r="M155" i="172" s="1"/>
  <c r="K154" i="172"/>
  <c r="M154" i="172" s="1"/>
  <c r="K153" i="172"/>
  <c r="M153" i="172" s="1"/>
  <c r="K152" i="172"/>
  <c r="M152" i="172" s="1"/>
  <c r="K151" i="172"/>
  <c r="M151" i="172" s="1"/>
  <c r="K150" i="172"/>
  <c r="M150" i="172" s="1"/>
  <c r="K149" i="172"/>
  <c r="M149" i="172" s="1"/>
  <c r="K148" i="172"/>
  <c r="M148" i="172" s="1"/>
  <c r="K147" i="172"/>
  <c r="M147" i="172" s="1"/>
  <c r="K146" i="172"/>
  <c r="M146" i="172" s="1"/>
  <c r="K145" i="172"/>
  <c r="M145" i="172" s="1"/>
  <c r="K144" i="172"/>
  <c r="M144" i="172" s="1"/>
  <c r="K143" i="172"/>
  <c r="M143" i="172" s="1"/>
  <c r="K142" i="172"/>
  <c r="M142" i="172" s="1"/>
  <c r="K141" i="172"/>
  <c r="M141" i="172" s="1"/>
  <c r="K140" i="172"/>
  <c r="M140" i="172" s="1"/>
  <c r="K139" i="172"/>
  <c r="M139" i="172" s="1"/>
  <c r="K138" i="172"/>
  <c r="M138" i="172" s="1"/>
  <c r="K137" i="172"/>
  <c r="M137" i="172" s="1"/>
  <c r="K136" i="172"/>
  <c r="M136" i="172" s="1"/>
  <c r="K135" i="172"/>
  <c r="M135" i="172" s="1"/>
  <c r="K134" i="172"/>
  <c r="M134" i="172" s="1"/>
  <c r="K133" i="172"/>
  <c r="M133" i="172" s="1"/>
  <c r="K132" i="172"/>
  <c r="M132" i="172" s="1"/>
  <c r="K131" i="172"/>
  <c r="M131" i="172" s="1"/>
  <c r="K130" i="172"/>
  <c r="M130" i="172" s="1"/>
  <c r="K129" i="172"/>
  <c r="M129" i="172" s="1"/>
  <c r="K128" i="172"/>
  <c r="M128" i="172" s="1"/>
  <c r="K127" i="172"/>
  <c r="M127" i="172" s="1"/>
  <c r="K126" i="172"/>
  <c r="M126" i="172" s="1"/>
  <c r="K125" i="172"/>
  <c r="M125" i="172" s="1"/>
  <c r="K124" i="172"/>
  <c r="M124" i="172" s="1"/>
  <c r="K123" i="172"/>
  <c r="M123" i="172" s="1"/>
  <c r="K122" i="172"/>
  <c r="M122" i="172" s="1"/>
  <c r="K121" i="172"/>
  <c r="M121" i="172" s="1"/>
  <c r="K120" i="172"/>
  <c r="M120" i="172" s="1"/>
  <c r="K119" i="172"/>
  <c r="M119" i="172" s="1"/>
  <c r="K118" i="172"/>
  <c r="M118" i="172" s="1"/>
  <c r="K117" i="172"/>
  <c r="M117" i="172" s="1"/>
  <c r="K116" i="172"/>
  <c r="M116" i="172" s="1"/>
  <c r="K115" i="172"/>
  <c r="M115" i="172" s="1"/>
  <c r="K114" i="172"/>
  <c r="M114" i="172" s="1"/>
  <c r="K113" i="172"/>
  <c r="M113" i="172" s="1"/>
  <c r="K112" i="172"/>
  <c r="M112" i="172" s="1"/>
  <c r="K111" i="172"/>
  <c r="M111" i="172" s="1"/>
  <c r="K110" i="172"/>
  <c r="M110" i="172" s="1"/>
  <c r="K109" i="172"/>
  <c r="M109" i="172" s="1"/>
  <c r="K108" i="172"/>
  <c r="M108" i="172" s="1"/>
  <c r="K107" i="172"/>
  <c r="M107" i="172" s="1"/>
  <c r="K106" i="172"/>
  <c r="M106" i="172" s="1"/>
  <c r="K105" i="172"/>
  <c r="M105" i="172" s="1"/>
  <c r="K104" i="172"/>
  <c r="M104" i="172" s="1"/>
  <c r="K103" i="172"/>
  <c r="M103" i="172" s="1"/>
  <c r="K102" i="172"/>
  <c r="M102" i="172" s="1"/>
  <c r="K101" i="172"/>
  <c r="M101" i="172" s="1"/>
  <c r="K100" i="172"/>
  <c r="M100" i="172" s="1"/>
  <c r="K99" i="172"/>
  <c r="M99" i="172" s="1"/>
  <c r="K98" i="172"/>
  <c r="M98" i="172" s="1"/>
  <c r="K97" i="172"/>
  <c r="M97" i="172" s="1"/>
  <c r="K96" i="172"/>
  <c r="M96" i="172" s="1"/>
  <c r="K95" i="172"/>
  <c r="M95" i="172" s="1"/>
  <c r="K94" i="172"/>
  <c r="M94" i="172" s="1"/>
  <c r="K93" i="172"/>
  <c r="M93" i="172" s="1"/>
  <c r="K92" i="172"/>
  <c r="M92" i="172" s="1"/>
  <c r="K91" i="172"/>
  <c r="M91" i="172" s="1"/>
  <c r="K90" i="172"/>
  <c r="M90" i="172" s="1"/>
  <c r="K89" i="172"/>
  <c r="M89" i="172" s="1"/>
  <c r="K88" i="172"/>
  <c r="M88" i="172" s="1"/>
  <c r="K87" i="172"/>
  <c r="M87" i="172" s="1"/>
  <c r="K86" i="172"/>
  <c r="M86" i="172" s="1"/>
  <c r="K85" i="172"/>
  <c r="M85" i="172" s="1"/>
  <c r="K84" i="172"/>
  <c r="M84" i="172" s="1"/>
  <c r="K83" i="172"/>
  <c r="M83" i="172" s="1"/>
  <c r="K82" i="172"/>
  <c r="M82" i="172" s="1"/>
  <c r="K81" i="172"/>
  <c r="M81" i="172" s="1"/>
  <c r="K80" i="172"/>
  <c r="M80" i="172" s="1"/>
  <c r="K79" i="172"/>
  <c r="M79" i="172" s="1"/>
  <c r="K78" i="172"/>
  <c r="M78" i="172" s="1"/>
  <c r="K77" i="172"/>
  <c r="M77" i="172" s="1"/>
  <c r="K76" i="172"/>
  <c r="M76" i="172" s="1"/>
  <c r="K75" i="172"/>
  <c r="M75" i="172" s="1"/>
  <c r="K74" i="172"/>
  <c r="M74" i="172" s="1"/>
  <c r="K73" i="172"/>
  <c r="M73" i="172" s="1"/>
  <c r="K72" i="172"/>
  <c r="M72" i="172" s="1"/>
  <c r="K71" i="172"/>
  <c r="M71" i="172" s="1"/>
  <c r="K70" i="172"/>
  <c r="M70" i="172" s="1"/>
  <c r="K69" i="172"/>
  <c r="M69" i="172" s="1"/>
  <c r="K68" i="172"/>
  <c r="M68" i="172" s="1"/>
  <c r="K67" i="172"/>
  <c r="M67" i="172" s="1"/>
  <c r="K66" i="172"/>
  <c r="M66" i="172" s="1"/>
  <c r="K65" i="172"/>
  <c r="M65" i="172" s="1"/>
  <c r="K64" i="172"/>
  <c r="M64" i="172" s="1"/>
  <c r="K63" i="172"/>
  <c r="M63" i="172" s="1"/>
  <c r="K62" i="172"/>
  <c r="M62" i="172" s="1"/>
  <c r="K61" i="172"/>
  <c r="M61" i="172" s="1"/>
  <c r="K60" i="172"/>
  <c r="M60" i="172" s="1"/>
  <c r="K59" i="172"/>
  <c r="M59" i="172" s="1"/>
  <c r="K58" i="172"/>
  <c r="M58" i="172" s="1"/>
  <c r="K57" i="172"/>
  <c r="M57" i="172" s="1"/>
  <c r="K56" i="172"/>
  <c r="M56" i="172" s="1"/>
  <c r="K55" i="172"/>
  <c r="M55" i="172" s="1"/>
  <c r="K54" i="172"/>
  <c r="M54" i="172" s="1"/>
  <c r="K53" i="172"/>
  <c r="M53" i="172" s="1"/>
  <c r="K52" i="172"/>
  <c r="M52" i="172" s="1"/>
  <c r="K51" i="172"/>
  <c r="M51" i="172" s="1"/>
  <c r="K50" i="172"/>
  <c r="M50" i="172" s="1"/>
  <c r="K49" i="172"/>
  <c r="M49" i="172" s="1"/>
  <c r="K48" i="172"/>
  <c r="M48" i="172" s="1"/>
  <c r="K47" i="172"/>
  <c r="M47" i="172" s="1"/>
  <c r="K46" i="172"/>
  <c r="M46" i="172" s="1"/>
  <c r="K45" i="172"/>
  <c r="M45" i="172" s="1"/>
  <c r="K44" i="172"/>
  <c r="M44" i="172" s="1"/>
  <c r="K43" i="172"/>
  <c r="M43" i="172" s="1"/>
  <c r="K42" i="172"/>
  <c r="M42" i="172" s="1"/>
  <c r="K41" i="172"/>
  <c r="M41" i="172" s="1"/>
  <c r="K40" i="172"/>
  <c r="M40" i="172" s="1"/>
  <c r="K39" i="172"/>
  <c r="M39" i="172" s="1"/>
  <c r="K38" i="172"/>
  <c r="M38" i="172" s="1"/>
  <c r="K37" i="172"/>
  <c r="M37" i="172" s="1"/>
  <c r="K36" i="172"/>
  <c r="M36" i="172" s="1"/>
  <c r="K35" i="172"/>
  <c r="M35" i="172" s="1"/>
  <c r="K34" i="172"/>
  <c r="M34" i="172" s="1"/>
  <c r="K33" i="172"/>
  <c r="M33" i="172" s="1"/>
  <c r="K32" i="172"/>
  <c r="M32" i="172" s="1"/>
  <c r="K31" i="172"/>
  <c r="M31" i="172" s="1"/>
  <c r="K30" i="172"/>
  <c r="M30" i="172" s="1"/>
  <c r="K29" i="172"/>
  <c r="M29" i="172" s="1"/>
  <c r="K28" i="172"/>
  <c r="M28" i="172" s="1"/>
  <c r="K27" i="172"/>
  <c r="M27" i="172" s="1"/>
  <c r="K26" i="172"/>
  <c r="M26" i="172" s="1"/>
  <c r="K25" i="172"/>
  <c r="M25" i="172" s="1"/>
  <c r="K24" i="172"/>
  <c r="M24" i="172" s="1"/>
  <c r="K23" i="172"/>
  <c r="M23" i="172" s="1"/>
  <c r="K22" i="172"/>
  <c r="M22" i="172" s="1"/>
  <c r="K21" i="172"/>
  <c r="M21" i="172" s="1"/>
  <c r="K20" i="172"/>
  <c r="M20" i="172" s="1"/>
  <c r="K19" i="172"/>
  <c r="M19" i="172" s="1"/>
  <c r="K18" i="172"/>
  <c r="M18" i="172" s="1"/>
  <c r="K17" i="172"/>
  <c r="M17" i="172" s="1"/>
  <c r="K16" i="172"/>
  <c r="M16" i="172" s="1"/>
  <c r="K15" i="172"/>
  <c r="M15" i="172" s="1"/>
  <c r="K14" i="172"/>
  <c r="M14" i="172" s="1"/>
  <c r="K13" i="172"/>
  <c r="M13" i="172" s="1"/>
  <c r="K12" i="172"/>
  <c r="M12" i="172" s="1"/>
  <c r="K11" i="172"/>
  <c r="M11" i="172" s="1"/>
  <c r="K10" i="172"/>
  <c r="M10" i="172" s="1"/>
  <c r="K9" i="172"/>
  <c r="M9" i="172" s="1"/>
  <c r="K8" i="172"/>
  <c r="M8" i="172" s="1"/>
  <c r="K7" i="172"/>
  <c r="M7" i="172" s="1"/>
  <c r="L435" i="171"/>
  <c r="L434" i="171"/>
  <c r="N434" i="171" s="1"/>
  <c r="L433" i="171"/>
  <c r="N433" i="171" s="1"/>
  <c r="L432" i="171"/>
  <c r="L431" i="171"/>
  <c r="L430" i="171"/>
  <c r="N430" i="171" s="1"/>
  <c r="L429" i="171"/>
  <c r="N429" i="171" s="1"/>
  <c r="L428" i="171"/>
  <c r="L427" i="171"/>
  <c r="N427" i="171" s="1"/>
  <c r="L426" i="171"/>
  <c r="L425" i="171"/>
  <c r="N425" i="171" s="1"/>
  <c r="L424" i="171"/>
  <c r="L423" i="171"/>
  <c r="L422" i="171"/>
  <c r="L421" i="171"/>
  <c r="L420" i="171"/>
  <c r="L419" i="171"/>
  <c r="N419" i="171" s="1"/>
  <c r="L418" i="171"/>
  <c r="L417" i="171"/>
  <c r="L416" i="171"/>
  <c r="N416" i="171" s="1"/>
  <c r="L415" i="171"/>
  <c r="L414" i="171"/>
  <c r="L413" i="171"/>
  <c r="L412" i="171"/>
  <c r="L411" i="171"/>
  <c r="L410" i="171"/>
  <c r="L409" i="171"/>
  <c r="N409" i="171" s="1"/>
  <c r="L408" i="171"/>
  <c r="N408" i="171" s="1"/>
  <c r="L407" i="171"/>
  <c r="L406" i="171"/>
  <c r="N406" i="171" s="1"/>
  <c r="L405" i="171"/>
  <c r="N405" i="171" s="1"/>
  <c r="L404" i="171"/>
  <c r="L403" i="171"/>
  <c r="L402" i="171"/>
  <c r="L401" i="171"/>
  <c r="L400" i="171"/>
  <c r="N400" i="171" s="1"/>
  <c r="L399" i="171"/>
  <c r="N399" i="171" s="1"/>
  <c r="L398" i="171"/>
  <c r="L397" i="171"/>
  <c r="L396" i="171"/>
  <c r="N396" i="171" s="1"/>
  <c r="L395" i="171"/>
  <c r="N395" i="171" s="1"/>
  <c r="L394" i="171"/>
  <c r="L393" i="171"/>
  <c r="L392" i="171"/>
  <c r="L391" i="171"/>
  <c r="L390" i="171"/>
  <c r="L389" i="171"/>
  <c r="L388" i="171"/>
  <c r="L387" i="171"/>
  <c r="L386" i="171"/>
  <c r="L385" i="171"/>
  <c r="L384" i="171"/>
  <c r="L383" i="171"/>
  <c r="L382" i="171"/>
  <c r="L381" i="171"/>
  <c r="L380" i="171"/>
  <c r="L379" i="171"/>
  <c r="L378" i="171"/>
  <c r="L377" i="171"/>
  <c r="L376" i="171"/>
  <c r="L375" i="171"/>
  <c r="L374" i="171"/>
  <c r="L373" i="171"/>
  <c r="L372" i="171"/>
  <c r="L371" i="171"/>
  <c r="L370" i="171"/>
  <c r="L369" i="171"/>
  <c r="L368" i="171"/>
  <c r="L367" i="171"/>
  <c r="L366" i="171"/>
  <c r="L365" i="171"/>
  <c r="L364" i="171"/>
  <c r="L363" i="171"/>
  <c r="L362" i="171"/>
  <c r="L361" i="171"/>
  <c r="L360" i="171"/>
  <c r="L359" i="171"/>
  <c r="L358" i="171"/>
  <c r="N358" i="171" s="1"/>
  <c r="L357" i="171"/>
  <c r="L356" i="171"/>
  <c r="L355" i="171"/>
  <c r="L354" i="171"/>
  <c r="L353" i="171"/>
  <c r="L352" i="171"/>
  <c r="N352" i="171" s="1"/>
  <c r="L351" i="171"/>
  <c r="L350" i="171"/>
  <c r="L349" i="171"/>
  <c r="N349" i="171" s="1"/>
  <c r="L348" i="171"/>
  <c r="L347" i="171"/>
  <c r="N347" i="171" s="1"/>
  <c r="L346" i="171"/>
  <c r="L345" i="171"/>
  <c r="N345" i="171" s="1"/>
  <c r="L344" i="171"/>
  <c r="L343" i="171"/>
  <c r="L342" i="171"/>
  <c r="N342" i="171" s="1"/>
  <c r="L341" i="171"/>
  <c r="N341" i="171" s="1"/>
  <c r="L340" i="171"/>
  <c r="L339" i="171"/>
  <c r="L338" i="171"/>
  <c r="L337" i="171"/>
  <c r="L336" i="171"/>
  <c r="L335" i="171"/>
  <c r="L334" i="171"/>
  <c r="L333" i="171"/>
  <c r="L332" i="171"/>
  <c r="L331" i="171"/>
  <c r="L330" i="171"/>
  <c r="N330" i="171" s="1"/>
  <c r="L329" i="171"/>
  <c r="N329" i="171" s="1"/>
  <c r="L328" i="171"/>
  <c r="L327" i="171"/>
  <c r="L326" i="171"/>
  <c r="L325" i="171"/>
  <c r="L324" i="171"/>
  <c r="L323" i="171"/>
  <c r="L322" i="171"/>
  <c r="L321" i="171"/>
  <c r="L320" i="171"/>
  <c r="N320" i="171" s="1"/>
  <c r="L319" i="171"/>
  <c r="L318" i="171"/>
  <c r="L317" i="171"/>
  <c r="L316" i="171"/>
  <c r="L315" i="171"/>
  <c r="L314" i="171"/>
  <c r="L313" i="171"/>
  <c r="L312" i="171"/>
  <c r="L311" i="171"/>
  <c r="L310" i="171"/>
  <c r="L309" i="171"/>
  <c r="L308" i="171"/>
  <c r="L307" i="171"/>
  <c r="L306" i="171"/>
  <c r="L305" i="171"/>
  <c r="N305" i="171" s="1"/>
  <c r="L304" i="171"/>
  <c r="L303" i="171"/>
  <c r="N303" i="171" s="1"/>
  <c r="L302" i="171"/>
  <c r="L301" i="171"/>
  <c r="N301" i="171" s="1"/>
  <c r="L300" i="171"/>
  <c r="N300" i="171" s="1"/>
  <c r="L299" i="171"/>
  <c r="L298" i="171"/>
  <c r="L297" i="171"/>
  <c r="L296" i="171"/>
  <c r="L295" i="171"/>
  <c r="L294" i="171"/>
  <c r="L293" i="171"/>
  <c r="L292" i="171"/>
  <c r="L291" i="171"/>
  <c r="L290" i="171"/>
  <c r="N290" i="171" s="1"/>
  <c r="L289" i="171"/>
  <c r="L288" i="171"/>
  <c r="N288" i="171" s="1"/>
  <c r="L287" i="171"/>
  <c r="N287" i="171" s="1"/>
  <c r="L286" i="171"/>
  <c r="L285" i="171"/>
  <c r="L284" i="171"/>
  <c r="N284" i="171" s="1"/>
  <c r="L283" i="171"/>
  <c r="L282" i="171"/>
  <c r="N282" i="171" s="1"/>
  <c r="L281" i="171"/>
  <c r="L280" i="171"/>
  <c r="L279" i="171"/>
  <c r="L278" i="171"/>
  <c r="N278" i="171" s="1"/>
  <c r="L277" i="171"/>
  <c r="L276" i="171"/>
  <c r="L275" i="171"/>
  <c r="L274" i="171"/>
  <c r="N274" i="171" s="1"/>
  <c r="L273" i="171"/>
  <c r="L272" i="171"/>
  <c r="L271" i="171"/>
  <c r="L270" i="171"/>
  <c r="N270" i="171" s="1"/>
  <c r="L269" i="171"/>
  <c r="N269" i="171" s="1"/>
  <c r="L268" i="171"/>
  <c r="L267" i="171"/>
  <c r="L266" i="171"/>
  <c r="N266" i="171" s="1"/>
  <c r="L265" i="171"/>
  <c r="L264" i="171"/>
  <c r="N264" i="171" s="1"/>
  <c r="L263" i="171"/>
  <c r="L262" i="171"/>
  <c r="L261" i="171"/>
  <c r="L260" i="171"/>
  <c r="L259" i="171"/>
  <c r="L258" i="171"/>
  <c r="L257" i="171"/>
  <c r="L256" i="171"/>
  <c r="L255" i="171"/>
  <c r="L254" i="171"/>
  <c r="L253" i="171"/>
  <c r="L252" i="171"/>
  <c r="L251" i="171"/>
  <c r="L250" i="171"/>
  <c r="L249" i="171"/>
  <c r="L248" i="171"/>
  <c r="L247" i="171"/>
  <c r="L246" i="171"/>
  <c r="L245" i="171"/>
  <c r="L244" i="171"/>
  <c r="L243" i="171"/>
  <c r="L242" i="171"/>
  <c r="L241" i="171"/>
  <c r="L240" i="171"/>
  <c r="L239" i="171"/>
  <c r="L238" i="171"/>
  <c r="L237" i="171"/>
  <c r="L236" i="171"/>
  <c r="L235" i="171"/>
  <c r="L234" i="171"/>
  <c r="N234" i="171" s="1"/>
  <c r="L233" i="171"/>
  <c r="N233" i="171" s="1"/>
  <c r="L232" i="171"/>
  <c r="L231" i="171"/>
  <c r="L230" i="171"/>
  <c r="L229" i="171"/>
  <c r="L228" i="171"/>
  <c r="L227" i="171"/>
  <c r="L226" i="171"/>
  <c r="L225" i="171"/>
  <c r="L224" i="171"/>
  <c r="L223" i="171"/>
  <c r="L222" i="171"/>
  <c r="N222" i="171" s="1"/>
  <c r="L221" i="171"/>
  <c r="L220" i="171"/>
  <c r="L219" i="171"/>
  <c r="L218" i="171"/>
  <c r="L217" i="171"/>
  <c r="N217" i="171" s="1"/>
  <c r="L216" i="171"/>
  <c r="L215" i="171"/>
  <c r="L214" i="171"/>
  <c r="L213" i="171"/>
  <c r="L212" i="171"/>
  <c r="L211" i="171"/>
  <c r="N211" i="171" s="1"/>
  <c r="L210" i="171"/>
  <c r="L209" i="171"/>
  <c r="L208" i="171"/>
  <c r="L207" i="171"/>
  <c r="L206" i="171"/>
  <c r="L205" i="171"/>
  <c r="L204" i="171"/>
  <c r="L203" i="171"/>
  <c r="N203" i="171" s="1"/>
  <c r="L202" i="171"/>
  <c r="L201" i="171"/>
  <c r="L200" i="171"/>
  <c r="N200" i="171" s="1"/>
  <c r="L199" i="171"/>
  <c r="N199" i="171" s="1"/>
  <c r="L198" i="171"/>
  <c r="N198" i="171" s="1"/>
  <c r="L197" i="171"/>
  <c r="L196" i="171"/>
  <c r="L195" i="171"/>
  <c r="L194" i="171"/>
  <c r="L193" i="171"/>
  <c r="N193" i="171" s="1"/>
  <c r="L192" i="171"/>
  <c r="L191" i="171"/>
  <c r="L190" i="171"/>
  <c r="L189" i="171"/>
  <c r="L188" i="171"/>
  <c r="L187" i="171"/>
  <c r="N187" i="171" s="1"/>
  <c r="L186" i="171"/>
  <c r="L185" i="171"/>
  <c r="L184" i="171"/>
  <c r="L183" i="171"/>
  <c r="N183" i="171" s="1"/>
  <c r="L182" i="171"/>
  <c r="L181" i="171"/>
  <c r="L180" i="171"/>
  <c r="L179" i="171"/>
  <c r="L178" i="171"/>
  <c r="L177" i="171"/>
  <c r="L176" i="171"/>
  <c r="N176" i="171" s="1"/>
  <c r="L175" i="171"/>
  <c r="N175" i="171" s="1"/>
  <c r="L174" i="171"/>
  <c r="N174" i="171" s="1"/>
  <c r="L173" i="171"/>
  <c r="L172" i="171"/>
  <c r="L171" i="171"/>
  <c r="N171" i="171" s="1"/>
  <c r="L170" i="171"/>
  <c r="L169" i="171"/>
  <c r="L168" i="171"/>
  <c r="N168" i="171" s="1"/>
  <c r="L167" i="171"/>
  <c r="N167" i="171" s="1"/>
  <c r="L166" i="171"/>
  <c r="L165" i="171"/>
  <c r="N165" i="171" s="1"/>
  <c r="L164" i="171"/>
  <c r="L163" i="171"/>
  <c r="L162" i="171"/>
  <c r="N162" i="171" s="1"/>
  <c r="L161" i="171"/>
  <c r="N161" i="171" s="1"/>
  <c r="L160" i="171"/>
  <c r="N160" i="171" s="1"/>
  <c r="L159" i="171"/>
  <c r="L158" i="171"/>
  <c r="L157" i="171"/>
  <c r="L156" i="171"/>
  <c r="L155" i="171"/>
  <c r="L154" i="171"/>
  <c r="L153" i="171"/>
  <c r="N153" i="171" s="1"/>
  <c r="L152" i="171"/>
  <c r="L151" i="171"/>
  <c r="L150" i="171"/>
  <c r="L149" i="171"/>
  <c r="L148" i="171"/>
  <c r="L147" i="171"/>
  <c r="N147" i="171" s="1"/>
  <c r="L146" i="171"/>
  <c r="L145" i="171"/>
  <c r="N145" i="171" s="1"/>
  <c r="L144" i="171"/>
  <c r="N144" i="171" s="1"/>
  <c r="L143" i="171"/>
  <c r="L142" i="171"/>
  <c r="L141" i="171"/>
  <c r="L140" i="171"/>
  <c r="L139" i="171"/>
  <c r="L138" i="171"/>
  <c r="L137" i="171"/>
  <c r="L136" i="171"/>
  <c r="N136" i="171" s="1"/>
  <c r="L135" i="171"/>
  <c r="L134" i="171"/>
  <c r="N134" i="171" s="1"/>
  <c r="L133" i="171"/>
  <c r="L132" i="171"/>
  <c r="N132" i="171" s="1"/>
  <c r="L131" i="171"/>
  <c r="L130" i="171"/>
  <c r="L129" i="171"/>
  <c r="L128" i="171"/>
  <c r="L127" i="171"/>
  <c r="L126" i="171"/>
  <c r="L125" i="171"/>
  <c r="L124" i="171"/>
  <c r="L123" i="171"/>
  <c r="N123" i="171" s="1"/>
  <c r="L122" i="171"/>
  <c r="L121" i="171"/>
  <c r="L120" i="171"/>
  <c r="L119" i="171"/>
  <c r="L118" i="171"/>
  <c r="N118" i="171" s="1"/>
  <c r="L117" i="171"/>
  <c r="L116" i="171"/>
  <c r="L115" i="171"/>
  <c r="L114" i="171"/>
  <c r="L113" i="171"/>
  <c r="N113" i="171" s="1"/>
  <c r="L112" i="171"/>
  <c r="L111" i="171"/>
  <c r="L110" i="171"/>
  <c r="N110" i="171" s="1"/>
  <c r="L109" i="171"/>
  <c r="L108" i="171"/>
  <c r="L107" i="171"/>
  <c r="L106" i="171"/>
  <c r="L105" i="171"/>
  <c r="N105" i="171" s="1"/>
  <c r="L104" i="171"/>
  <c r="L103" i="171"/>
  <c r="L102" i="171"/>
  <c r="L101" i="171"/>
  <c r="L100" i="171"/>
  <c r="N100" i="171" s="1"/>
  <c r="L99" i="171"/>
  <c r="L98" i="171"/>
  <c r="N98" i="171" s="1"/>
  <c r="L97" i="171"/>
  <c r="L96" i="171"/>
  <c r="N96" i="171" s="1"/>
  <c r="L95" i="171"/>
  <c r="N95" i="171" s="1"/>
  <c r="L94" i="171"/>
  <c r="L93" i="171"/>
  <c r="L92" i="171"/>
  <c r="L91" i="171"/>
  <c r="L90" i="171"/>
  <c r="L89" i="171"/>
  <c r="L88" i="171"/>
  <c r="L87" i="171"/>
  <c r="L86" i="171"/>
  <c r="L85" i="171"/>
  <c r="L84" i="171"/>
  <c r="L83" i="171"/>
  <c r="L82" i="171"/>
  <c r="L81" i="171"/>
  <c r="N81" i="171" s="1"/>
  <c r="L80" i="171"/>
  <c r="N80" i="171" s="1"/>
  <c r="L79" i="171"/>
  <c r="L78" i="171"/>
  <c r="L77" i="171"/>
  <c r="L76" i="171"/>
  <c r="L75" i="171"/>
  <c r="L74" i="171"/>
  <c r="L73" i="171"/>
  <c r="L72" i="171"/>
  <c r="L71" i="171"/>
  <c r="L70" i="171"/>
  <c r="L69" i="171"/>
  <c r="L68" i="171"/>
  <c r="N68" i="171" s="1"/>
  <c r="L67" i="171"/>
  <c r="L66" i="171"/>
  <c r="L65" i="171"/>
  <c r="L64" i="171"/>
  <c r="L63" i="171"/>
  <c r="L62" i="171"/>
  <c r="L61" i="171"/>
  <c r="N61" i="171" s="1"/>
  <c r="L60" i="171"/>
  <c r="N60" i="171" s="1"/>
  <c r="L59" i="171"/>
  <c r="N59" i="171" s="1"/>
  <c r="L58" i="171"/>
  <c r="L57" i="171"/>
  <c r="L56" i="171"/>
  <c r="L55" i="171"/>
  <c r="L54" i="171"/>
  <c r="L53" i="171"/>
  <c r="L52" i="171"/>
  <c r="L51" i="171"/>
  <c r="N51" i="171" s="1"/>
  <c r="L50" i="171"/>
  <c r="L49" i="171"/>
  <c r="N49" i="171" s="1"/>
  <c r="L48" i="171"/>
  <c r="L47" i="171"/>
  <c r="L46" i="171"/>
  <c r="L45" i="171"/>
  <c r="L44" i="171"/>
  <c r="L43" i="171"/>
  <c r="L42" i="171"/>
  <c r="N42" i="171" s="1"/>
  <c r="L41" i="171"/>
  <c r="L40" i="171"/>
  <c r="N40" i="171" s="1"/>
  <c r="L39" i="171"/>
  <c r="L38" i="171"/>
  <c r="L37" i="171"/>
  <c r="N37" i="171" s="1"/>
  <c r="L36" i="171"/>
  <c r="N36" i="171" s="1"/>
  <c r="L35" i="171"/>
  <c r="L34" i="171"/>
  <c r="L33" i="171"/>
  <c r="L32" i="171"/>
  <c r="L31" i="171"/>
  <c r="L30" i="171"/>
  <c r="L29" i="171"/>
  <c r="L28" i="171"/>
  <c r="L27" i="171"/>
  <c r="L26" i="171"/>
  <c r="L25" i="171"/>
  <c r="L24" i="171"/>
  <c r="L23" i="171"/>
  <c r="L22" i="171"/>
  <c r="L21" i="171"/>
  <c r="L20" i="171"/>
  <c r="L19" i="171"/>
  <c r="N19" i="171" s="1"/>
  <c r="L18" i="171"/>
  <c r="N18" i="171" s="1"/>
  <c r="L17" i="171"/>
  <c r="L16" i="171"/>
  <c r="N16" i="171" s="1"/>
  <c r="L15" i="171"/>
  <c r="L14" i="171"/>
  <c r="L13" i="171"/>
  <c r="L12" i="171"/>
  <c r="L11" i="171"/>
  <c r="L10" i="171"/>
  <c r="L9" i="171"/>
  <c r="L8" i="171"/>
  <c r="L7" i="171"/>
  <c r="N7" i="171" s="1"/>
  <c r="K3" i="171"/>
  <c r="I3" i="171"/>
  <c r="I1" i="171" s="1"/>
  <c r="I398" i="170"/>
  <c r="J398" i="170"/>
  <c r="K398" i="170"/>
  <c r="H398" i="170"/>
  <c r="AT388" i="1" l="1"/>
  <c r="AT324" i="1"/>
  <c r="AT267" i="1"/>
  <c r="AT219" i="1"/>
  <c r="AT163" i="1"/>
  <c r="AT107" i="1"/>
  <c r="AT48" i="1"/>
  <c r="AT395" i="1"/>
  <c r="AT379" i="1"/>
  <c r="AT363" i="1"/>
  <c r="AT339" i="1"/>
  <c r="AT323" i="1"/>
  <c r="AT315" i="1"/>
  <c r="AT396" i="1"/>
  <c r="AT340" i="1"/>
  <c r="AT284" i="1"/>
  <c r="AT235" i="1"/>
  <c r="AT179" i="1"/>
  <c r="AT131" i="1"/>
  <c r="AT64" i="1"/>
  <c r="AT15" i="1"/>
  <c r="AT387" i="1"/>
  <c r="AT371" i="1"/>
  <c r="AT355" i="1"/>
  <c r="AT347" i="1"/>
  <c r="AT331" i="1"/>
  <c r="AT307" i="1"/>
  <c r="AT356" i="1"/>
  <c r="AT300" i="1"/>
  <c r="AT243" i="1"/>
  <c r="AT187" i="1"/>
  <c r="AT123" i="1"/>
  <c r="AT72" i="1"/>
  <c r="AT7" i="1"/>
  <c r="AT369" i="1"/>
  <c r="AT321" i="1"/>
  <c r="AT280" i="1"/>
  <c r="AT224" i="1"/>
  <c r="AT200" i="1"/>
  <c r="AT152" i="1"/>
  <c r="AT112" i="1"/>
  <c r="AT61" i="1"/>
  <c r="AT372" i="1"/>
  <c r="AT308" i="1"/>
  <c r="AT251" i="1"/>
  <c r="AT195" i="1"/>
  <c r="AT139" i="1"/>
  <c r="AT82" i="1"/>
  <c r="AT32" i="1"/>
  <c r="AT377" i="1"/>
  <c r="AT337" i="1"/>
  <c r="AT289" i="1"/>
  <c r="AT256" i="1"/>
  <c r="AT216" i="1"/>
  <c r="AT176" i="1"/>
  <c r="AT128" i="1"/>
  <c r="AT87" i="1"/>
  <c r="AT78" i="1"/>
  <c r="AT364" i="1"/>
  <c r="AT332" i="1"/>
  <c r="AT275" i="1"/>
  <c r="AT211" i="1"/>
  <c r="AT155" i="1"/>
  <c r="AT98" i="1"/>
  <c r="AT23" i="1"/>
  <c r="AT24" i="1"/>
  <c r="AT76" i="1"/>
  <c r="AT79" i="1"/>
  <c r="AT103" i="1"/>
  <c r="AT282" i="1"/>
  <c r="AT385" i="1"/>
  <c r="AT345" i="1"/>
  <c r="AT305" i="1"/>
  <c r="AT272" i="1"/>
  <c r="AT240" i="1"/>
  <c r="AT192" i="1"/>
  <c r="AT160" i="1"/>
  <c r="AT120" i="1"/>
  <c r="AT45" i="1"/>
  <c r="AT348" i="1"/>
  <c r="AT292" i="1"/>
  <c r="AT227" i="1"/>
  <c r="AT171" i="1"/>
  <c r="AT115" i="1"/>
  <c r="AT56" i="1"/>
  <c r="AT393" i="1"/>
  <c r="AT353" i="1"/>
  <c r="AT313" i="1"/>
  <c r="AT264" i="1"/>
  <c r="AT232" i="1"/>
  <c r="AT184" i="1"/>
  <c r="AT144" i="1"/>
  <c r="AT104" i="1"/>
  <c r="AT69" i="1"/>
  <c r="AT380" i="1"/>
  <c r="AT316" i="1"/>
  <c r="AT259" i="1"/>
  <c r="AT203" i="1"/>
  <c r="AT147" i="1"/>
  <c r="AT90" i="1"/>
  <c r="AT40" i="1"/>
  <c r="AT361" i="1"/>
  <c r="AT329" i="1"/>
  <c r="AT297" i="1"/>
  <c r="AT248" i="1"/>
  <c r="AT208" i="1"/>
  <c r="AT168" i="1"/>
  <c r="AT136" i="1"/>
  <c r="AT95" i="1"/>
  <c r="AT53" i="1"/>
  <c r="AT299" i="1"/>
  <c r="AT291" i="1"/>
  <c r="AT283" i="1"/>
  <c r="AT274" i="1"/>
  <c r="AT266" i="1"/>
  <c r="AT258" i="1"/>
  <c r="AT250" i="1"/>
  <c r="AT242" i="1"/>
  <c r="AT234" i="1"/>
  <c r="AT226" i="1"/>
  <c r="AT218" i="1"/>
  <c r="AT210" i="1"/>
  <c r="AT202" i="1"/>
  <c r="AT194" i="1"/>
  <c r="AT186" i="1"/>
  <c r="AT178" i="1"/>
  <c r="AT170" i="1"/>
  <c r="AT162" i="1"/>
  <c r="AT154" i="1"/>
  <c r="AT146" i="1"/>
  <c r="AT138" i="1"/>
  <c r="AT130" i="1"/>
  <c r="AT122" i="1"/>
  <c r="AT114" i="1"/>
  <c r="AT106" i="1"/>
  <c r="AT97" i="1"/>
  <c r="AT89" i="1"/>
  <c r="AT81" i="1"/>
  <c r="AT71" i="1"/>
  <c r="AT63" i="1"/>
  <c r="AT55" i="1"/>
  <c r="AT47" i="1"/>
  <c r="AT39" i="1"/>
  <c r="AT31" i="1"/>
  <c r="AT22" i="1"/>
  <c r="AT14" i="1"/>
  <c r="M79" i="1"/>
  <c r="AT394" i="1"/>
  <c r="AT386" i="1"/>
  <c r="AT378" i="1"/>
  <c r="AT370" i="1"/>
  <c r="AT362" i="1"/>
  <c r="AT354" i="1"/>
  <c r="AT346" i="1"/>
  <c r="AT338" i="1"/>
  <c r="AT330" i="1"/>
  <c r="AT322" i="1"/>
  <c r="AT314" i="1"/>
  <c r="AT306" i="1"/>
  <c r="AT298" i="1"/>
  <c r="AT290" i="1"/>
  <c r="AT281" i="1"/>
  <c r="AT273" i="1"/>
  <c r="AT265" i="1"/>
  <c r="AT257" i="1"/>
  <c r="AT249" i="1"/>
  <c r="AT241" i="1"/>
  <c r="AT233" i="1"/>
  <c r="AT225" i="1"/>
  <c r="AT217" i="1"/>
  <c r="AT209" i="1"/>
  <c r="AT201" i="1"/>
  <c r="AT193" i="1"/>
  <c r="AT185" i="1"/>
  <c r="AT177" i="1"/>
  <c r="AT169" i="1"/>
  <c r="AT161" i="1"/>
  <c r="AT153" i="1"/>
  <c r="AT145" i="1"/>
  <c r="AT137" i="1"/>
  <c r="AT129" i="1"/>
  <c r="AT121" i="1"/>
  <c r="AT113" i="1"/>
  <c r="AT105" i="1"/>
  <c r="AT96" i="1"/>
  <c r="AT88" i="1"/>
  <c r="AT80" i="1"/>
  <c r="AT70" i="1"/>
  <c r="AT62" i="1"/>
  <c r="AT54" i="1"/>
  <c r="AT46" i="1"/>
  <c r="AT38" i="1"/>
  <c r="AT30" i="1"/>
  <c r="AT21" i="1"/>
  <c r="AT13" i="1"/>
  <c r="M24" i="1"/>
  <c r="AT392" i="1"/>
  <c r="AT384" i="1"/>
  <c r="AT376" i="1"/>
  <c r="AT368" i="1"/>
  <c r="AT360" i="1"/>
  <c r="AT352" i="1"/>
  <c r="AT344" i="1"/>
  <c r="AT336" i="1"/>
  <c r="AT328" i="1"/>
  <c r="AT320" i="1"/>
  <c r="AT312" i="1"/>
  <c r="AT304" i="1"/>
  <c r="AT296" i="1"/>
  <c r="AT288" i="1"/>
  <c r="AT279" i="1"/>
  <c r="AT271" i="1"/>
  <c r="AT263" i="1"/>
  <c r="AT255" i="1"/>
  <c r="AT247" i="1"/>
  <c r="AT239" i="1"/>
  <c r="AT231" i="1"/>
  <c r="AT223" i="1"/>
  <c r="AT215" i="1"/>
  <c r="AT207" i="1"/>
  <c r="AT199" i="1"/>
  <c r="AT191" i="1"/>
  <c r="AT183" i="1"/>
  <c r="AT175" i="1"/>
  <c r="AT167" i="1"/>
  <c r="AT159" i="1"/>
  <c r="AT151" i="1"/>
  <c r="AT143" i="1"/>
  <c r="AT135" i="1"/>
  <c r="AT127" i="1"/>
  <c r="AT119" i="1"/>
  <c r="AT111" i="1"/>
  <c r="AT102" i="1"/>
  <c r="AT94" i="1"/>
  <c r="AT86" i="1"/>
  <c r="AT77" i="1"/>
  <c r="AT68" i="1"/>
  <c r="AT60" i="1"/>
  <c r="AT52" i="1"/>
  <c r="AT44" i="1"/>
  <c r="AT36" i="1"/>
  <c r="AT28" i="1"/>
  <c r="AT19" i="1"/>
  <c r="AT11" i="1"/>
  <c r="AT37" i="1"/>
  <c r="AT29" i="1"/>
  <c r="AT20" i="1"/>
  <c r="AT12" i="1"/>
  <c r="AT391" i="1"/>
  <c r="AT383" i="1"/>
  <c r="AT375" i="1"/>
  <c r="AT367" i="1"/>
  <c r="AT359" i="1"/>
  <c r="AT351" i="1"/>
  <c r="AT343" i="1"/>
  <c r="AT335" i="1"/>
  <c r="AT327" i="1"/>
  <c r="AT319" i="1"/>
  <c r="AT311" i="1"/>
  <c r="AT303" i="1"/>
  <c r="AT295" i="1"/>
  <c r="AT287" i="1"/>
  <c r="AT278" i="1"/>
  <c r="AT270" i="1"/>
  <c r="AT262" i="1"/>
  <c r="AT254" i="1"/>
  <c r="AT246" i="1"/>
  <c r="AT238" i="1"/>
  <c r="AT230" i="1"/>
  <c r="AT222" i="1"/>
  <c r="AT214" i="1"/>
  <c r="AT206" i="1"/>
  <c r="AT198" i="1"/>
  <c r="AT190" i="1"/>
  <c r="AT182" i="1"/>
  <c r="AT174" i="1"/>
  <c r="AT166" i="1"/>
  <c r="AT158" i="1"/>
  <c r="AT150" i="1"/>
  <c r="AT142" i="1"/>
  <c r="AT134" i="1"/>
  <c r="AT126" i="1"/>
  <c r="AT118" i="1"/>
  <c r="AT110" i="1"/>
  <c r="AT101" i="1"/>
  <c r="AT93" i="1"/>
  <c r="AT85" i="1"/>
  <c r="AT75" i="1"/>
  <c r="AT67" i="1"/>
  <c r="AT59" i="1"/>
  <c r="AT51" i="1"/>
  <c r="AT43" i="1"/>
  <c r="AT35" i="1"/>
  <c r="AT27" i="1"/>
  <c r="AT18" i="1"/>
  <c r="AT10" i="1"/>
  <c r="AT398" i="1"/>
  <c r="AT390" i="1"/>
  <c r="AT382" i="1"/>
  <c r="AT374" i="1"/>
  <c r="AT366" i="1"/>
  <c r="AT358" i="1"/>
  <c r="AT350" i="1"/>
  <c r="AT342" i="1"/>
  <c r="AT334" i="1"/>
  <c r="AT326" i="1"/>
  <c r="AT318" i="1"/>
  <c r="AT310" i="1"/>
  <c r="AT302" i="1"/>
  <c r="AT294" i="1"/>
  <c r="AT286" i="1"/>
  <c r="AT277" i="1"/>
  <c r="AT269" i="1"/>
  <c r="AT261" i="1"/>
  <c r="AT253" i="1"/>
  <c r="AT245" i="1"/>
  <c r="AT237" i="1"/>
  <c r="AT229" i="1"/>
  <c r="AT221" i="1"/>
  <c r="AT213" i="1"/>
  <c r="AT205" i="1"/>
  <c r="AT197" i="1"/>
  <c r="AT189" i="1"/>
  <c r="AT181" i="1"/>
  <c r="AT173" i="1"/>
  <c r="AT165" i="1"/>
  <c r="AT157" i="1"/>
  <c r="AT149" i="1"/>
  <c r="AT141" i="1"/>
  <c r="AT133" i="1"/>
  <c r="AT125" i="1"/>
  <c r="AT117" i="1"/>
  <c r="AT109" i="1"/>
  <c r="AT100" i="1"/>
  <c r="AT92" i="1"/>
  <c r="AT84" i="1"/>
  <c r="AT74" i="1"/>
  <c r="AT66" i="1"/>
  <c r="AT58" i="1"/>
  <c r="AT50" i="1"/>
  <c r="AT42" i="1"/>
  <c r="AT34" i="1"/>
  <c r="AT26" i="1"/>
  <c r="AT17" i="1"/>
  <c r="AT9" i="1"/>
  <c r="AT397" i="1"/>
  <c r="AT389" i="1"/>
  <c r="AT381" i="1"/>
  <c r="AT373" i="1"/>
  <c r="AT365" i="1"/>
  <c r="AT357" i="1"/>
  <c r="AT349" i="1"/>
  <c r="AT341" i="1"/>
  <c r="AT333" i="1"/>
  <c r="AT325" i="1"/>
  <c r="AT317" i="1"/>
  <c r="AT309" i="1"/>
  <c r="AT301" i="1"/>
  <c r="AT293" i="1"/>
  <c r="AT285" i="1"/>
  <c r="AT276" i="1"/>
  <c r="AT268" i="1"/>
  <c r="AT260" i="1"/>
  <c r="AT252" i="1"/>
  <c r="AT244" i="1"/>
  <c r="AT236" i="1"/>
  <c r="AT228" i="1"/>
  <c r="AT220" i="1"/>
  <c r="AT212" i="1"/>
  <c r="AT204" i="1"/>
  <c r="AT196" i="1"/>
  <c r="AT188" i="1"/>
  <c r="AT180" i="1"/>
  <c r="AT172" i="1"/>
  <c r="AT164" i="1"/>
  <c r="AT156" i="1"/>
  <c r="AT148" i="1"/>
  <c r="AT140" i="1"/>
  <c r="AT132" i="1"/>
  <c r="AT124" i="1"/>
  <c r="AT116" i="1"/>
  <c r="AT108" i="1"/>
  <c r="AT99" i="1"/>
  <c r="AT91" i="1"/>
  <c r="AT83" i="1"/>
  <c r="AT73" i="1"/>
  <c r="AT65" i="1"/>
  <c r="AT57" i="1"/>
  <c r="AT49" i="1"/>
  <c r="AT41" i="1"/>
  <c r="AT33" i="1"/>
  <c r="AT25" i="1"/>
  <c r="AT16" i="1"/>
  <c r="AT8" i="1"/>
  <c r="N70" i="171"/>
  <c r="L274" i="1" s="1"/>
  <c r="N142" i="171"/>
  <c r="L80" i="1" s="1"/>
  <c r="N206" i="171"/>
  <c r="L368" i="1" s="1"/>
  <c r="N39" i="171"/>
  <c r="L7" i="1" s="1"/>
  <c r="N55" i="171"/>
  <c r="L161" i="1" s="1"/>
  <c r="N127" i="171"/>
  <c r="N151" i="171"/>
  <c r="L204" i="1" s="1"/>
  <c r="N231" i="171"/>
  <c r="L307" i="1" s="1"/>
  <c r="N8" i="171"/>
  <c r="L101" i="1" s="1"/>
  <c r="N24" i="171"/>
  <c r="L295" i="1" s="1"/>
  <c r="N32" i="171"/>
  <c r="L112" i="1" s="1"/>
  <c r="N48" i="171"/>
  <c r="L17" i="1" s="1"/>
  <c r="N56" i="171"/>
  <c r="L171" i="1" s="1"/>
  <c r="N64" i="171"/>
  <c r="L183" i="1" s="1"/>
  <c r="N72" i="171"/>
  <c r="L261" i="1" s="1"/>
  <c r="N88" i="171"/>
  <c r="L247" i="1" s="1"/>
  <c r="N104" i="171"/>
  <c r="L130" i="1" s="1"/>
  <c r="N112" i="171"/>
  <c r="L354" i="1" s="1"/>
  <c r="N120" i="171"/>
  <c r="L180" i="1" s="1"/>
  <c r="N128" i="171"/>
  <c r="L293" i="1" s="1"/>
  <c r="N152" i="171"/>
  <c r="L356" i="1" s="1"/>
  <c r="N184" i="171"/>
  <c r="L159" i="1" s="1"/>
  <c r="N192" i="171"/>
  <c r="L314" i="1" s="1"/>
  <c r="N208" i="171"/>
  <c r="L81" i="1" s="1"/>
  <c r="N216" i="171"/>
  <c r="N224" i="171"/>
  <c r="L327" i="1" s="1"/>
  <c r="N232" i="171"/>
  <c r="L309" i="1" s="1"/>
  <c r="N240" i="171"/>
  <c r="L238" i="1" s="1"/>
  <c r="N248" i="171"/>
  <c r="L209" i="1" s="1"/>
  <c r="N256" i="171"/>
  <c r="L319" i="1" s="1"/>
  <c r="N272" i="171"/>
  <c r="N280" i="171"/>
  <c r="L287" i="1" s="1"/>
  <c r="N296" i="171"/>
  <c r="L140" i="1" s="1"/>
  <c r="N304" i="171"/>
  <c r="L134" i="1" s="1"/>
  <c r="N312" i="171"/>
  <c r="L349" i="1" s="1"/>
  <c r="N328" i="171"/>
  <c r="L16" i="1" s="1"/>
  <c r="N336" i="171"/>
  <c r="L62" i="1" s="1"/>
  <c r="N344" i="171"/>
  <c r="L290" i="1" s="1"/>
  <c r="N360" i="171"/>
  <c r="L145" i="1" s="1"/>
  <c r="N368" i="171"/>
  <c r="L328" i="1" s="1"/>
  <c r="N376" i="171"/>
  <c r="L206" i="1" s="1"/>
  <c r="N384" i="171"/>
  <c r="L73" i="1" s="1"/>
  <c r="N392" i="171"/>
  <c r="L89" i="1" s="1"/>
  <c r="N424" i="171"/>
  <c r="L346" i="1" s="1"/>
  <c r="N432" i="171"/>
  <c r="L157" i="1" s="1"/>
  <c r="N209" i="171"/>
  <c r="L360" i="1" s="1"/>
  <c r="N225" i="171"/>
  <c r="L303" i="1" s="1"/>
  <c r="N241" i="171"/>
  <c r="L216" i="1" s="1"/>
  <c r="N249" i="171"/>
  <c r="L210" i="1" s="1"/>
  <c r="N257" i="171"/>
  <c r="L245" i="1" s="1"/>
  <c r="N265" i="171"/>
  <c r="L358" i="1" s="1"/>
  <c r="N273" i="171"/>
  <c r="L178" i="1" s="1"/>
  <c r="N281" i="171"/>
  <c r="L193" i="1" s="1"/>
  <c r="N289" i="171"/>
  <c r="L386" i="1" s="1"/>
  <c r="N297" i="171"/>
  <c r="L31" i="1" s="1"/>
  <c r="N313" i="171"/>
  <c r="L353" i="1" s="1"/>
  <c r="N321" i="171"/>
  <c r="N337" i="171"/>
  <c r="N353" i="171"/>
  <c r="L237" i="1" s="1"/>
  <c r="N361" i="171"/>
  <c r="L196" i="1" s="1"/>
  <c r="N369" i="171"/>
  <c r="L331" i="1" s="1"/>
  <c r="N377" i="171"/>
  <c r="L316" i="1" s="1"/>
  <c r="N385" i="171"/>
  <c r="N393" i="171"/>
  <c r="L90" i="1" s="1"/>
  <c r="N401" i="171"/>
  <c r="L288" i="1" s="1"/>
  <c r="N417" i="171"/>
  <c r="N13" i="171"/>
  <c r="L68" i="1" s="1"/>
  <c r="N14" i="171"/>
  <c r="L69" i="1" s="1"/>
  <c r="N30" i="171"/>
  <c r="L110" i="1" s="1"/>
  <c r="N46" i="171"/>
  <c r="L26" i="1" s="1"/>
  <c r="N78" i="171"/>
  <c r="L258" i="1" s="1"/>
  <c r="N94" i="171"/>
  <c r="L198" i="1" s="1"/>
  <c r="N126" i="171"/>
  <c r="L276" i="1" s="1"/>
  <c r="N150" i="171"/>
  <c r="L357" i="1" s="1"/>
  <c r="N182" i="171"/>
  <c r="N230" i="171"/>
  <c r="L304" i="1" s="1"/>
  <c r="N15" i="171"/>
  <c r="L64" i="1" s="1"/>
  <c r="N23" i="171"/>
  <c r="L104" i="1" s="1"/>
  <c r="N31" i="171"/>
  <c r="L107" i="1" s="1"/>
  <c r="N47" i="171"/>
  <c r="L136" i="1" s="1"/>
  <c r="N63" i="171"/>
  <c r="L182" i="1" s="1"/>
  <c r="N71" i="171"/>
  <c r="L262" i="1" s="1"/>
  <c r="N79" i="171"/>
  <c r="N87" i="171"/>
  <c r="L249" i="1" s="1"/>
  <c r="N103" i="171"/>
  <c r="L36" i="1" s="1"/>
  <c r="N111" i="171"/>
  <c r="L310" i="1" s="1"/>
  <c r="N119" i="171"/>
  <c r="L162" i="1" s="1"/>
  <c r="N135" i="171"/>
  <c r="L379" i="1" s="1"/>
  <c r="N143" i="171"/>
  <c r="N159" i="171"/>
  <c r="L38" i="1" s="1"/>
  <c r="N191" i="171"/>
  <c r="L248" i="1" s="1"/>
  <c r="N207" i="171"/>
  <c r="L291" i="1" s="1"/>
  <c r="N215" i="171"/>
  <c r="L364" i="1" s="1"/>
  <c r="N223" i="171"/>
  <c r="L224" i="1" s="1"/>
  <c r="N9" i="171"/>
  <c r="L233" i="1" s="1"/>
  <c r="N17" i="171"/>
  <c r="L135" i="1" s="1"/>
  <c r="N25" i="171"/>
  <c r="L106" i="1" s="1"/>
  <c r="N33" i="171"/>
  <c r="N41" i="171"/>
  <c r="N57" i="171"/>
  <c r="L177" i="1" s="1"/>
  <c r="N65" i="171"/>
  <c r="L8" i="1" s="1"/>
  <c r="N73" i="171"/>
  <c r="L260" i="1" s="1"/>
  <c r="N89" i="171"/>
  <c r="L221" i="1" s="1"/>
  <c r="N97" i="171"/>
  <c r="L23" i="1" s="1"/>
  <c r="N121" i="171"/>
  <c r="L341" i="1" s="1"/>
  <c r="N129" i="171"/>
  <c r="L281" i="1" s="1"/>
  <c r="N137" i="171"/>
  <c r="L301" i="1" s="1"/>
  <c r="N169" i="171"/>
  <c r="L54" i="1" s="1"/>
  <c r="N177" i="171"/>
  <c r="L45" i="1" s="1"/>
  <c r="N185" i="171"/>
  <c r="L313" i="1" s="1"/>
  <c r="N201" i="171"/>
  <c r="L169" i="1" s="1"/>
  <c r="N10" i="171"/>
  <c r="L344" i="1" s="1"/>
  <c r="N26" i="171"/>
  <c r="L108" i="1" s="1"/>
  <c r="N34" i="171"/>
  <c r="N50" i="171"/>
  <c r="L361" i="1" s="1"/>
  <c r="N58" i="171"/>
  <c r="L173" i="1" s="1"/>
  <c r="N66" i="171"/>
  <c r="L272" i="1" s="1"/>
  <c r="N74" i="171"/>
  <c r="L268" i="1" s="1"/>
  <c r="N82" i="171"/>
  <c r="L219" i="1" s="1"/>
  <c r="N90" i="171"/>
  <c r="L168" i="1" s="1"/>
  <c r="N106" i="171"/>
  <c r="L146" i="1" s="1"/>
  <c r="N114" i="171"/>
  <c r="N122" i="171"/>
  <c r="L21" i="1" s="1"/>
  <c r="N130" i="171"/>
  <c r="L243" i="1" s="1"/>
  <c r="N138" i="171"/>
  <c r="L378" i="1" s="1"/>
  <c r="N146" i="171"/>
  <c r="N154" i="171"/>
  <c r="L334" i="1" s="1"/>
  <c r="N170" i="171"/>
  <c r="L34" i="1" s="1"/>
  <c r="N178" i="171"/>
  <c r="L372" i="1" s="1"/>
  <c r="N186" i="171"/>
  <c r="L124" i="1" s="1"/>
  <c r="N194" i="171"/>
  <c r="L175" i="1" s="1"/>
  <c r="N202" i="171"/>
  <c r="L18" i="1" s="1"/>
  <c r="N210" i="171"/>
  <c r="L375" i="1" s="1"/>
  <c r="N218" i="171"/>
  <c r="L205" i="1" s="1"/>
  <c r="N226" i="171"/>
  <c r="L308" i="1" s="1"/>
  <c r="N242" i="171"/>
  <c r="L217" i="1" s="1"/>
  <c r="N250" i="171"/>
  <c r="L212" i="1" s="1"/>
  <c r="N258" i="171"/>
  <c r="L13" i="1" s="1"/>
  <c r="N298" i="171"/>
  <c r="L32" i="1" s="1"/>
  <c r="N306" i="171"/>
  <c r="L137" i="1" s="1"/>
  <c r="N314" i="171"/>
  <c r="L345" i="1" s="1"/>
  <c r="N322" i="171"/>
  <c r="N338" i="171"/>
  <c r="L66" i="1" s="1"/>
  <c r="N346" i="171"/>
  <c r="L318" i="1" s="1"/>
  <c r="N354" i="171"/>
  <c r="N362" i="171"/>
  <c r="L195" i="1" s="1"/>
  <c r="N370" i="171"/>
  <c r="N378" i="171"/>
  <c r="L92" i="1" s="1"/>
  <c r="N386" i="171"/>
  <c r="N394" i="171"/>
  <c r="L116" i="1" s="1"/>
  <c r="N402" i="171"/>
  <c r="L234" i="1" s="1"/>
  <c r="N410" i="171"/>
  <c r="L363" i="1" s="1"/>
  <c r="N418" i="171"/>
  <c r="L292" i="1" s="1"/>
  <c r="N426" i="171"/>
  <c r="L362" i="1" s="1"/>
  <c r="N102" i="171"/>
  <c r="N166" i="171"/>
  <c r="L49" i="1" s="1"/>
  <c r="N11" i="171"/>
  <c r="L61" i="1" s="1"/>
  <c r="N35" i="171"/>
  <c r="L111" i="1" s="1"/>
  <c r="N67" i="171"/>
  <c r="N75" i="171"/>
  <c r="L255" i="1" s="1"/>
  <c r="N91" i="171"/>
  <c r="L163" i="1" s="1"/>
  <c r="N107" i="171"/>
  <c r="N139" i="171"/>
  <c r="N155" i="171"/>
  <c r="L19" i="1" s="1"/>
  <c r="N195" i="171"/>
  <c r="L11" i="1" s="1"/>
  <c r="N227" i="171"/>
  <c r="N243" i="171"/>
  <c r="N259" i="171"/>
  <c r="L296" i="1" s="1"/>
  <c r="N275" i="171"/>
  <c r="L226" i="1" s="1"/>
  <c r="N291" i="171"/>
  <c r="N307" i="171"/>
  <c r="N323" i="171"/>
  <c r="L113" i="1" s="1"/>
  <c r="N355" i="171"/>
  <c r="L239" i="1" s="1"/>
  <c r="N379" i="171"/>
  <c r="N411" i="171"/>
  <c r="N22" i="171"/>
  <c r="L164" i="1" s="1"/>
  <c r="N38" i="171"/>
  <c r="L50" i="1" s="1"/>
  <c r="N54" i="171"/>
  <c r="L165" i="1" s="1"/>
  <c r="N62" i="171"/>
  <c r="N86" i="171"/>
  <c r="L246" i="1" s="1"/>
  <c r="N158" i="171"/>
  <c r="L382" i="1" s="1"/>
  <c r="N190" i="171"/>
  <c r="L166" i="1" s="1"/>
  <c r="N214" i="171"/>
  <c r="N27" i="171"/>
  <c r="L118" i="1" s="1"/>
  <c r="N43" i="171"/>
  <c r="L289" i="1" s="1"/>
  <c r="N83" i="171"/>
  <c r="N99" i="171"/>
  <c r="N115" i="171"/>
  <c r="L188" i="1" s="1"/>
  <c r="N131" i="171"/>
  <c r="L44" i="1" s="1"/>
  <c r="N163" i="171"/>
  <c r="L40" i="1" s="1"/>
  <c r="N179" i="171"/>
  <c r="N219" i="171"/>
  <c r="L333" i="1" s="1"/>
  <c r="N235" i="171"/>
  <c r="L200" i="1" s="1"/>
  <c r="N251" i="171"/>
  <c r="N267" i="171"/>
  <c r="N283" i="171"/>
  <c r="L172" i="1" s="1"/>
  <c r="N299" i="171"/>
  <c r="L28" i="1" s="1"/>
  <c r="N315" i="171"/>
  <c r="N331" i="171"/>
  <c r="N339" i="171"/>
  <c r="L351" i="1" s="1"/>
  <c r="N363" i="171"/>
  <c r="L197" i="1" s="1"/>
  <c r="N371" i="171"/>
  <c r="L170" i="1" s="1"/>
  <c r="N387" i="171"/>
  <c r="N403" i="171"/>
  <c r="L115" i="1" s="1"/>
  <c r="N435" i="171"/>
  <c r="L298" i="1" s="1"/>
  <c r="N12" i="171"/>
  <c r="L70" i="1" s="1"/>
  <c r="N20" i="171"/>
  <c r="N28" i="171"/>
  <c r="L126" i="1" s="1"/>
  <c r="N44" i="171"/>
  <c r="L158" i="1" s="1"/>
  <c r="N52" i="171"/>
  <c r="N76" i="171"/>
  <c r="N84" i="171"/>
  <c r="L220" i="1" s="1"/>
  <c r="N92" i="171"/>
  <c r="L252" i="1" s="1"/>
  <c r="N108" i="171"/>
  <c r="L337" i="1" s="1"/>
  <c r="N116" i="171"/>
  <c r="N124" i="171"/>
  <c r="L284" i="1" s="1"/>
  <c r="N140" i="171"/>
  <c r="L294" i="1" s="1"/>
  <c r="N148" i="171"/>
  <c r="L25" i="1" s="1"/>
  <c r="N156" i="171"/>
  <c r="N164" i="171"/>
  <c r="L75" i="1" s="1"/>
  <c r="N172" i="171"/>
  <c r="L41" i="1" s="1"/>
  <c r="N180" i="171"/>
  <c r="L138" i="1" s="1"/>
  <c r="N188" i="171"/>
  <c r="N196" i="171"/>
  <c r="L139" i="1" s="1"/>
  <c r="N204" i="171"/>
  <c r="L174" i="1" s="1"/>
  <c r="N212" i="171"/>
  <c r="N220" i="171"/>
  <c r="N228" i="171"/>
  <c r="L302" i="1" s="1"/>
  <c r="N236" i="171"/>
  <c r="L374" i="1" s="1"/>
  <c r="N244" i="171"/>
  <c r="N252" i="171"/>
  <c r="N260" i="171"/>
  <c r="L128" i="1" s="1"/>
  <c r="N268" i="171"/>
  <c r="L367" i="1" s="1"/>
  <c r="N276" i="171"/>
  <c r="L82" i="1" s="1"/>
  <c r="N292" i="171"/>
  <c r="N308" i="171"/>
  <c r="L385" i="1" s="1"/>
  <c r="N316" i="171"/>
  <c r="L329" i="1" s="1"/>
  <c r="N324" i="171"/>
  <c r="N332" i="171"/>
  <c r="N340" i="171"/>
  <c r="L352" i="1" s="1"/>
  <c r="N348" i="171"/>
  <c r="L83" i="1" s="1"/>
  <c r="N356" i="171"/>
  <c r="L236" i="1" s="1"/>
  <c r="N364" i="171"/>
  <c r="N372" i="171"/>
  <c r="L33" i="1" s="1"/>
  <c r="N380" i="171"/>
  <c r="L72" i="1" s="1"/>
  <c r="N388" i="171"/>
  <c r="N404" i="171"/>
  <c r="N412" i="171"/>
  <c r="L84" i="1" s="1"/>
  <c r="N420" i="171"/>
  <c r="L355" i="1" s="1"/>
  <c r="N428" i="171"/>
  <c r="L250" i="1" s="1"/>
  <c r="N21" i="171"/>
  <c r="N29" i="171"/>
  <c r="N45" i="171"/>
  <c r="L203" i="1" s="1"/>
  <c r="N53" i="171"/>
  <c r="N69" i="171"/>
  <c r="N77" i="171"/>
  <c r="L259" i="1" s="1"/>
  <c r="N85" i="171"/>
  <c r="L223" i="1" s="1"/>
  <c r="N93" i="171"/>
  <c r="L151" i="1" s="1"/>
  <c r="N101" i="171"/>
  <c r="N109" i="171"/>
  <c r="L335" i="1" s="1"/>
  <c r="N117" i="171"/>
  <c r="L277" i="1" s="1"/>
  <c r="N125" i="171"/>
  <c r="L37" i="1" s="1"/>
  <c r="N133" i="171"/>
  <c r="N141" i="171"/>
  <c r="L97" i="1" s="1"/>
  <c r="N149" i="171"/>
  <c r="L57" i="1" s="1"/>
  <c r="N157" i="171"/>
  <c r="L14" i="1" s="1"/>
  <c r="N173" i="171"/>
  <c r="N181" i="171"/>
  <c r="N189" i="171"/>
  <c r="L167" i="1" s="1"/>
  <c r="N197" i="171"/>
  <c r="L370" i="1" s="1"/>
  <c r="N205" i="171"/>
  <c r="N213" i="171"/>
  <c r="L10" i="1" s="1"/>
  <c r="N221" i="171"/>
  <c r="L257" i="1" s="1"/>
  <c r="N229" i="171"/>
  <c r="L306" i="1" s="1"/>
  <c r="N237" i="171"/>
  <c r="N245" i="171"/>
  <c r="N253" i="171"/>
  <c r="L147" i="1" s="1"/>
  <c r="N261" i="171"/>
  <c r="L264" i="1" s="1"/>
  <c r="N277" i="171"/>
  <c r="N285" i="171"/>
  <c r="L340" i="1" s="1"/>
  <c r="N293" i="171"/>
  <c r="L160" i="1" s="1"/>
  <c r="N309" i="171"/>
  <c r="L43" i="1" s="1"/>
  <c r="N317" i="171"/>
  <c r="N325" i="171"/>
  <c r="L119" i="1" s="1"/>
  <c r="N333" i="171"/>
  <c r="L65" i="1" s="1"/>
  <c r="N357" i="171"/>
  <c r="L52" i="1" s="1"/>
  <c r="N365" i="171"/>
  <c r="N373" i="171"/>
  <c r="L339" i="1" s="1"/>
  <c r="N381" i="171"/>
  <c r="L78" i="1" s="1"/>
  <c r="N389" i="171"/>
  <c r="N397" i="171"/>
  <c r="N413" i="171"/>
  <c r="L322" i="1" s="1"/>
  <c r="N421" i="171"/>
  <c r="L300" i="1" s="1"/>
  <c r="N238" i="171"/>
  <c r="N246" i="171"/>
  <c r="N254" i="171"/>
  <c r="L323" i="1" s="1"/>
  <c r="N262" i="171"/>
  <c r="L267" i="1" s="1"/>
  <c r="N286" i="171"/>
  <c r="L365" i="1" s="1"/>
  <c r="N294" i="171"/>
  <c r="N302" i="171"/>
  <c r="L29" i="1" s="1"/>
  <c r="N310" i="171"/>
  <c r="L332" i="1" s="1"/>
  <c r="N318" i="171"/>
  <c r="L240" i="1" s="1"/>
  <c r="N326" i="171"/>
  <c r="N334" i="171"/>
  <c r="L63" i="1" s="1"/>
  <c r="N350" i="171"/>
  <c r="L96" i="1" s="1"/>
  <c r="N366" i="171"/>
  <c r="N374" i="171"/>
  <c r="N382" i="171"/>
  <c r="L71" i="1" s="1"/>
  <c r="N390" i="171"/>
  <c r="L88" i="1" s="1"/>
  <c r="N398" i="171"/>
  <c r="L315" i="1" s="1"/>
  <c r="N414" i="171"/>
  <c r="N422" i="171"/>
  <c r="L348" i="1" s="1"/>
  <c r="N239" i="171"/>
  <c r="L232" i="1" s="1"/>
  <c r="N247" i="171"/>
  <c r="L149" i="1" s="1"/>
  <c r="N255" i="171"/>
  <c r="N263" i="171"/>
  <c r="L265" i="1" s="1"/>
  <c r="N271" i="171"/>
  <c r="L127" i="1" s="1"/>
  <c r="N279" i="171"/>
  <c r="N295" i="171"/>
  <c r="N311" i="171"/>
  <c r="L141" i="1" s="1"/>
  <c r="N319" i="171"/>
  <c r="L317" i="1" s="1"/>
  <c r="N327" i="171"/>
  <c r="L125" i="1" s="1"/>
  <c r="N335" i="171"/>
  <c r="N343" i="171"/>
  <c r="L338" i="1" s="1"/>
  <c r="N351" i="171"/>
  <c r="L286" i="1" s="1"/>
  <c r="N359" i="171"/>
  <c r="L194" i="1" s="1"/>
  <c r="N367" i="171"/>
  <c r="N375" i="171"/>
  <c r="L342" i="1" s="1"/>
  <c r="N383" i="171"/>
  <c r="L77" i="1" s="1"/>
  <c r="N391" i="171"/>
  <c r="L93" i="1" s="1"/>
  <c r="N407" i="171"/>
  <c r="N415" i="171"/>
  <c r="N423" i="171"/>
  <c r="L347" i="1" s="1"/>
  <c r="N431" i="171"/>
  <c r="L191" i="1" s="1"/>
  <c r="M391" i="1"/>
  <c r="M278" i="1"/>
  <c r="M254" i="1"/>
  <c r="M222" i="1"/>
  <c r="M75" i="1"/>
  <c r="M51" i="1"/>
  <c r="M392" i="1"/>
  <c r="M384" i="1"/>
  <c r="M271" i="1"/>
  <c r="M102" i="1"/>
  <c r="M60" i="1"/>
  <c r="M52" i="1"/>
  <c r="M398" i="1"/>
  <c r="M390" i="1"/>
  <c r="M350" i="1"/>
  <c r="M269" i="1"/>
  <c r="M253" i="1"/>
  <c r="M229" i="1"/>
  <c r="M189" i="1"/>
  <c r="M181" i="1"/>
  <c r="M133" i="1"/>
  <c r="M74" i="1"/>
  <c r="M34" i="1"/>
  <c r="M397" i="1"/>
  <c r="M389" i="1"/>
  <c r="M381" i="1"/>
  <c r="M244" i="1"/>
  <c r="M228" i="1"/>
  <c r="M49" i="1"/>
  <c r="M41" i="1"/>
  <c r="M282" i="1"/>
  <c r="M396" i="1"/>
  <c r="M388" i="1"/>
  <c r="M372" i="1"/>
  <c r="M348" i="1"/>
  <c r="M340" i="1"/>
  <c r="M316" i="1"/>
  <c r="M308" i="1"/>
  <c r="M292" i="1"/>
  <c r="M284" i="1"/>
  <c r="M267" i="1"/>
  <c r="M251" i="1"/>
  <c r="M227" i="1"/>
  <c r="M179" i="1"/>
  <c r="M155" i="1"/>
  <c r="M123" i="1"/>
  <c r="M98" i="1"/>
  <c r="M40" i="1"/>
  <c r="M103" i="1"/>
  <c r="M395" i="1"/>
  <c r="M387" i="1"/>
  <c r="M379" i="1"/>
  <c r="M363" i="1"/>
  <c r="M355" i="1"/>
  <c r="M347" i="1"/>
  <c r="M339" i="1"/>
  <c r="M331" i="1"/>
  <c r="M307" i="1"/>
  <c r="M266" i="1"/>
  <c r="M154" i="1"/>
  <c r="M47" i="1"/>
  <c r="M39" i="1"/>
  <c r="M394" i="1"/>
  <c r="M273" i="1"/>
  <c r="M225" i="1"/>
  <c r="M185" i="1"/>
  <c r="M153" i="1"/>
  <c r="M54" i="1"/>
  <c r="M46" i="1"/>
  <c r="M76" i="1"/>
  <c r="M393" i="1"/>
  <c r="M280" i="1"/>
  <c r="M192" i="1"/>
  <c r="M184" i="1"/>
  <c r="M152" i="1"/>
  <c r="M53" i="1"/>
  <c r="M45" i="1"/>
  <c r="M323" i="1"/>
  <c r="M243" i="1"/>
  <c r="M219" i="1"/>
  <c r="M211" i="1"/>
  <c r="M203" i="1"/>
  <c r="M195" i="1"/>
  <c r="M187" i="1"/>
  <c r="M291" i="1"/>
  <c r="M258" i="1"/>
  <c r="M202" i="1"/>
  <c r="M194" i="1"/>
  <c r="M186" i="1"/>
  <c r="M178" i="1"/>
  <c r="M170" i="1"/>
  <c r="M138" i="1"/>
  <c r="M130" i="1"/>
  <c r="M122" i="1"/>
  <c r="M376" i="1"/>
  <c r="M368" i="1"/>
  <c r="M360" i="1"/>
  <c r="M352" i="1"/>
  <c r="M344" i="1"/>
  <c r="M336" i="1"/>
  <c r="M328" i="1"/>
  <c r="M320" i="1"/>
  <c r="M312" i="1"/>
  <c r="M304" i="1"/>
  <c r="M296" i="1"/>
  <c r="M288" i="1"/>
  <c r="M279" i="1"/>
  <c r="M263" i="1"/>
  <c r="M255" i="1"/>
  <c r="M247" i="1"/>
  <c r="M239" i="1"/>
  <c r="M231" i="1"/>
  <c r="M223" i="1"/>
  <c r="M215" i="1"/>
  <c r="M207" i="1"/>
  <c r="M199" i="1"/>
  <c r="M191" i="1"/>
  <c r="M183" i="1"/>
  <c r="M175" i="1"/>
  <c r="M167" i="1"/>
  <c r="M159" i="1"/>
  <c r="M151" i="1"/>
  <c r="M143" i="1"/>
  <c r="M135" i="1"/>
  <c r="M127" i="1"/>
  <c r="M119" i="1"/>
  <c r="M111" i="1"/>
  <c r="M94" i="1"/>
  <c r="M86" i="1"/>
  <c r="M77" i="1"/>
  <c r="M68" i="1"/>
  <c r="M44" i="1"/>
  <c r="M36" i="1"/>
  <c r="M28" i="1"/>
  <c r="M20" i="1"/>
  <c r="M12" i="1"/>
  <c r="M383" i="1"/>
  <c r="M375" i="1"/>
  <c r="M367" i="1"/>
  <c r="M359" i="1"/>
  <c r="M351" i="1"/>
  <c r="M343" i="1"/>
  <c r="M335" i="1"/>
  <c r="M327" i="1"/>
  <c r="M319" i="1"/>
  <c r="M311" i="1"/>
  <c r="M303" i="1"/>
  <c r="M295" i="1"/>
  <c r="M287" i="1"/>
  <c r="M270" i="1"/>
  <c r="M262" i="1"/>
  <c r="M246" i="1"/>
  <c r="M238" i="1"/>
  <c r="M230" i="1"/>
  <c r="M214" i="1"/>
  <c r="M206" i="1"/>
  <c r="M198" i="1"/>
  <c r="M190" i="1"/>
  <c r="M182" i="1"/>
  <c r="M174" i="1"/>
  <c r="M166" i="1"/>
  <c r="M158" i="1"/>
  <c r="M150" i="1"/>
  <c r="M142" i="1"/>
  <c r="M134" i="1"/>
  <c r="M126" i="1"/>
  <c r="M118" i="1"/>
  <c r="M110" i="1"/>
  <c r="M101" i="1"/>
  <c r="M93" i="1"/>
  <c r="M85" i="1"/>
  <c r="M67" i="1"/>
  <c r="M59" i="1"/>
  <c r="M43" i="1"/>
  <c r="M35" i="1"/>
  <c r="M27" i="1"/>
  <c r="M19" i="1"/>
  <c r="M11" i="1"/>
  <c r="M382" i="1"/>
  <c r="M374" i="1"/>
  <c r="M366" i="1"/>
  <c r="M358" i="1"/>
  <c r="M342" i="1"/>
  <c r="M334" i="1"/>
  <c r="M326" i="1"/>
  <c r="M318" i="1"/>
  <c r="M310" i="1"/>
  <c r="M302" i="1"/>
  <c r="M294" i="1"/>
  <c r="M286" i="1"/>
  <c r="M277" i="1"/>
  <c r="M261" i="1"/>
  <c r="M245" i="1"/>
  <c r="M237" i="1"/>
  <c r="M221" i="1"/>
  <c r="M213" i="1"/>
  <c r="M205" i="1"/>
  <c r="M197" i="1"/>
  <c r="M173" i="1"/>
  <c r="M165" i="1"/>
  <c r="M157" i="1"/>
  <c r="M149" i="1"/>
  <c r="M141" i="1"/>
  <c r="M125" i="1"/>
  <c r="M117" i="1"/>
  <c r="M109" i="1"/>
  <c r="M100" i="1"/>
  <c r="M92" i="1"/>
  <c r="M84" i="1"/>
  <c r="M66" i="1"/>
  <c r="M58" i="1"/>
  <c r="M50" i="1"/>
  <c r="M42" i="1"/>
  <c r="M26" i="1"/>
  <c r="M18" i="1"/>
  <c r="M10" i="1"/>
  <c r="M373" i="1"/>
  <c r="M365" i="1"/>
  <c r="M357" i="1"/>
  <c r="M349" i="1"/>
  <c r="M341" i="1"/>
  <c r="M333" i="1"/>
  <c r="M325" i="1"/>
  <c r="M317" i="1"/>
  <c r="M309" i="1"/>
  <c r="M301" i="1"/>
  <c r="M293" i="1"/>
  <c r="M285" i="1"/>
  <c r="M276" i="1"/>
  <c r="M268" i="1"/>
  <c r="M260" i="1"/>
  <c r="M252" i="1"/>
  <c r="M236" i="1"/>
  <c r="M220" i="1"/>
  <c r="M212" i="1"/>
  <c r="M204" i="1"/>
  <c r="M196" i="1"/>
  <c r="M188" i="1"/>
  <c r="M180" i="1"/>
  <c r="M172" i="1"/>
  <c r="M164" i="1"/>
  <c r="M156" i="1"/>
  <c r="M148" i="1"/>
  <c r="M140" i="1"/>
  <c r="M132" i="1"/>
  <c r="M124" i="1"/>
  <c r="M116" i="1"/>
  <c r="M108" i="1"/>
  <c r="M99" i="1"/>
  <c r="M91" i="1"/>
  <c r="M83" i="1"/>
  <c r="M73" i="1"/>
  <c r="M65" i="1"/>
  <c r="M57" i="1"/>
  <c r="M33" i="1"/>
  <c r="M25" i="1"/>
  <c r="M17" i="1"/>
  <c r="M9" i="1"/>
  <c r="M380" i="1"/>
  <c r="M364" i="1"/>
  <c r="M356" i="1"/>
  <c r="M332" i="1"/>
  <c r="M324" i="1"/>
  <c r="M300" i="1"/>
  <c r="M275" i="1"/>
  <c r="M259" i="1"/>
  <c r="M235" i="1"/>
  <c r="M171" i="1"/>
  <c r="M163" i="1"/>
  <c r="M147" i="1"/>
  <c r="M139" i="1"/>
  <c r="M131" i="1"/>
  <c r="M115" i="1"/>
  <c r="M107" i="1"/>
  <c r="M90" i="1"/>
  <c r="M82" i="1"/>
  <c r="M72" i="1"/>
  <c r="M64" i="1"/>
  <c r="M56" i="1"/>
  <c r="M48" i="1"/>
  <c r="M32" i="1"/>
  <c r="M16" i="1"/>
  <c r="M8" i="1"/>
  <c r="M371" i="1"/>
  <c r="M315" i="1"/>
  <c r="M299" i="1"/>
  <c r="M283" i="1"/>
  <c r="M274" i="1"/>
  <c r="M250" i="1"/>
  <c r="M242" i="1"/>
  <c r="M234" i="1"/>
  <c r="M226" i="1"/>
  <c r="M218" i="1"/>
  <c r="M210" i="1"/>
  <c r="M162" i="1"/>
  <c r="M146" i="1"/>
  <c r="M114" i="1"/>
  <c r="M106" i="1"/>
  <c r="M97" i="1"/>
  <c r="M89" i="1"/>
  <c r="M81" i="1"/>
  <c r="M71" i="1"/>
  <c r="M63" i="1"/>
  <c r="M55" i="1"/>
  <c r="M31" i="1"/>
  <c r="M23" i="1"/>
  <c r="M15" i="1"/>
  <c r="M7" i="1"/>
  <c r="M386" i="1"/>
  <c r="M378" i="1"/>
  <c r="M370" i="1"/>
  <c r="M362" i="1"/>
  <c r="M354" i="1"/>
  <c r="M346" i="1"/>
  <c r="M338" i="1"/>
  <c r="M330" i="1"/>
  <c r="M322" i="1"/>
  <c r="M314" i="1"/>
  <c r="M306" i="1"/>
  <c r="M298" i="1"/>
  <c r="M290" i="1"/>
  <c r="M281" i="1"/>
  <c r="M265" i="1"/>
  <c r="M257" i="1"/>
  <c r="M249" i="1"/>
  <c r="M241" i="1"/>
  <c r="M233" i="1"/>
  <c r="M217" i="1"/>
  <c r="M209" i="1"/>
  <c r="M201" i="1"/>
  <c r="M193" i="1"/>
  <c r="M177" i="1"/>
  <c r="M169" i="1"/>
  <c r="M161" i="1"/>
  <c r="M145" i="1"/>
  <c r="M137" i="1"/>
  <c r="M129" i="1"/>
  <c r="M121" i="1"/>
  <c r="M113" i="1"/>
  <c r="M105" i="1"/>
  <c r="M96" i="1"/>
  <c r="M88" i="1"/>
  <c r="M80" i="1"/>
  <c r="M70" i="1"/>
  <c r="M62" i="1"/>
  <c r="M38" i="1"/>
  <c r="M30" i="1"/>
  <c r="M22" i="1"/>
  <c r="M14" i="1"/>
  <c r="M385" i="1"/>
  <c r="M377" i="1"/>
  <c r="M369" i="1"/>
  <c r="M361" i="1"/>
  <c r="M353" i="1"/>
  <c r="M345" i="1"/>
  <c r="M337" i="1"/>
  <c r="M329" i="1"/>
  <c r="M321" i="1"/>
  <c r="M313" i="1"/>
  <c r="M305" i="1"/>
  <c r="M297" i="1"/>
  <c r="M289" i="1"/>
  <c r="M272" i="1"/>
  <c r="M264" i="1"/>
  <c r="M256" i="1"/>
  <c r="M248" i="1"/>
  <c r="M240" i="1"/>
  <c r="M232" i="1"/>
  <c r="M224" i="1"/>
  <c r="M216" i="1"/>
  <c r="M208" i="1"/>
  <c r="M200" i="1"/>
  <c r="M176" i="1"/>
  <c r="M168" i="1"/>
  <c r="M160" i="1"/>
  <c r="M144" i="1"/>
  <c r="M136" i="1"/>
  <c r="M128" i="1"/>
  <c r="M120" i="1"/>
  <c r="M112" i="1"/>
  <c r="M104" i="1"/>
  <c r="M95" i="1"/>
  <c r="M87" i="1"/>
  <c r="M78" i="1"/>
  <c r="M69" i="1"/>
  <c r="M61" i="1"/>
  <c r="M37" i="1"/>
  <c r="M29" i="1"/>
  <c r="M21" i="1"/>
  <c r="M13" i="1"/>
  <c r="L76" i="1"/>
  <c r="L279" i="1"/>
  <c r="L263" i="1"/>
  <c r="L231" i="1"/>
  <c r="L215" i="1"/>
  <c r="L199" i="1"/>
  <c r="L102" i="1"/>
  <c r="L94" i="1"/>
  <c r="L86" i="1"/>
  <c r="L79" i="1"/>
  <c r="L388" i="1"/>
  <c r="L380" i="1"/>
  <c r="L282" i="1"/>
  <c r="L103" i="1"/>
  <c r="L391" i="1"/>
  <c r="L383" i="1"/>
  <c r="L343" i="1"/>
  <c r="L278" i="1"/>
  <c r="L230" i="1"/>
  <c r="L214" i="1"/>
  <c r="L150" i="1"/>
  <c r="L85" i="1"/>
  <c r="L27" i="1"/>
  <c r="L396" i="1"/>
  <c r="L324" i="1"/>
  <c r="L30" i="1"/>
  <c r="L390" i="1"/>
  <c r="L366" i="1"/>
  <c r="L326" i="1"/>
  <c r="L213" i="1"/>
  <c r="L181" i="1"/>
  <c r="L117" i="1"/>
  <c r="L397" i="1"/>
  <c r="L389" i="1"/>
  <c r="L381" i="1"/>
  <c r="L325" i="1"/>
  <c r="L244" i="1"/>
  <c r="L156" i="1"/>
  <c r="L148" i="1"/>
  <c r="J3" i="172"/>
  <c r="J1" i="172" s="1"/>
  <c r="I3" i="172"/>
  <c r="I1" i="172" s="1"/>
  <c r="L280" i="1"/>
  <c r="L184" i="1"/>
  <c r="L152" i="1"/>
  <c r="L74" i="1"/>
  <c r="L58" i="1"/>
  <c r="L42" i="1"/>
  <c r="L395" i="1"/>
  <c r="L387" i="1"/>
  <c r="L371" i="1"/>
  <c r="L299" i="1"/>
  <c r="L271" i="1"/>
  <c r="L251" i="1"/>
  <c r="L229" i="1"/>
  <c r="L207" i="1"/>
  <c r="L187" i="1"/>
  <c r="L155" i="1"/>
  <c r="L143" i="1"/>
  <c r="L133" i="1"/>
  <c r="L123" i="1"/>
  <c r="L91" i="1"/>
  <c r="L394" i="1"/>
  <c r="L330" i="1"/>
  <c r="L270" i="1"/>
  <c r="L228" i="1"/>
  <c r="L185" i="1"/>
  <c r="L153" i="1"/>
  <c r="L142" i="1"/>
  <c r="L132" i="1"/>
  <c r="L121" i="1"/>
  <c r="L100" i="1"/>
  <c r="L67" i="1"/>
  <c r="L53" i="1"/>
  <c r="L98" i="1"/>
  <c r="L56" i="1"/>
  <c r="L48" i="1"/>
  <c r="L24" i="1"/>
  <c r="L393" i="1"/>
  <c r="L377" i="1"/>
  <c r="L369" i="1"/>
  <c r="L321" i="1"/>
  <c r="L305" i="1"/>
  <c r="L297" i="1"/>
  <c r="L269" i="1"/>
  <c r="L227" i="1"/>
  <c r="L131" i="1"/>
  <c r="L109" i="1"/>
  <c r="L99" i="1"/>
  <c r="L87" i="1"/>
  <c r="L266" i="1"/>
  <c r="L242" i="1"/>
  <c r="L218" i="1"/>
  <c r="L202" i="1"/>
  <c r="L186" i="1"/>
  <c r="L154" i="1"/>
  <c r="L122" i="1"/>
  <c r="L114" i="1"/>
  <c r="L55" i="1"/>
  <c r="L47" i="1"/>
  <c r="L39" i="1"/>
  <c r="L15" i="1"/>
  <c r="L392" i="1"/>
  <c r="L384" i="1"/>
  <c r="L376" i="1"/>
  <c r="L336" i="1"/>
  <c r="L320" i="1"/>
  <c r="L312" i="1"/>
  <c r="L225" i="1"/>
  <c r="L129" i="1"/>
  <c r="L51" i="1"/>
  <c r="L12" i="1"/>
  <c r="L359" i="1"/>
  <c r="L311" i="1"/>
  <c r="L235" i="1"/>
  <c r="L95" i="1"/>
  <c r="L22" i="1"/>
  <c r="L120" i="1"/>
  <c r="L398" i="1"/>
  <c r="L350" i="1"/>
  <c r="L285" i="1"/>
  <c r="L254" i="1"/>
  <c r="L222" i="1"/>
  <c r="L201" i="1"/>
  <c r="L190" i="1"/>
  <c r="L105" i="1"/>
  <c r="L60" i="1"/>
  <c r="L46" i="1"/>
  <c r="L35" i="1"/>
  <c r="L9" i="1"/>
  <c r="L373" i="1"/>
  <c r="L275" i="1"/>
  <c r="L253" i="1"/>
  <c r="L211" i="1"/>
  <c r="L189" i="1"/>
  <c r="L179" i="1"/>
  <c r="L59" i="1"/>
  <c r="L20" i="1"/>
  <c r="L256" i="1"/>
  <c r="L208" i="1"/>
  <c r="L192" i="1"/>
  <c r="L176" i="1"/>
  <c r="L144" i="1"/>
  <c r="L283" i="1"/>
  <c r="L273" i="1"/>
  <c r="L241" i="1"/>
  <c r="AX76" i="1"/>
  <c r="AU282" i="1"/>
  <c r="AX282" i="1"/>
  <c r="AU103" i="1"/>
  <c r="AX103" i="1"/>
  <c r="AU79" i="1"/>
  <c r="AX79" i="1"/>
  <c r="AU76" i="1"/>
  <c r="AW282" i="1"/>
  <c r="AW103" i="1"/>
  <c r="AW79" i="1"/>
  <c r="AW76" i="1"/>
  <c r="BG282" i="1"/>
  <c r="BG103" i="1"/>
  <c r="BG79" i="1"/>
  <c r="BG76" i="1"/>
  <c r="K1" i="171"/>
  <c r="J3" i="171"/>
  <c r="J1" i="171" s="1"/>
  <c r="M6" i="170"/>
  <c r="M7" i="170"/>
  <c r="M8" i="170"/>
  <c r="M9" i="170"/>
  <c r="M10" i="170"/>
  <c r="M11" i="170"/>
  <c r="M12" i="170"/>
  <c r="M13" i="170"/>
  <c r="M14" i="170"/>
  <c r="M15" i="170"/>
  <c r="M16" i="170"/>
  <c r="M17" i="170"/>
  <c r="M18" i="170"/>
  <c r="M19" i="170"/>
  <c r="M20" i="170"/>
  <c r="M21" i="170"/>
  <c r="M22" i="170"/>
  <c r="M23" i="170"/>
  <c r="M24" i="170"/>
  <c r="M25" i="170"/>
  <c r="M26" i="170"/>
  <c r="M27" i="170"/>
  <c r="M28" i="170"/>
  <c r="M29" i="170"/>
  <c r="M30" i="170"/>
  <c r="M31" i="170"/>
  <c r="M32" i="170"/>
  <c r="M33" i="170"/>
  <c r="M34" i="170"/>
  <c r="M35" i="170"/>
  <c r="M36" i="170"/>
  <c r="M37" i="170"/>
  <c r="M38" i="170"/>
  <c r="M39" i="170"/>
  <c r="M40" i="170"/>
  <c r="M41" i="170"/>
  <c r="M42" i="170"/>
  <c r="M43" i="170"/>
  <c r="M44" i="170"/>
  <c r="M45" i="170"/>
  <c r="M46" i="170"/>
  <c r="M47" i="170"/>
  <c r="M48" i="170"/>
  <c r="M49" i="170"/>
  <c r="M50" i="170"/>
  <c r="M51" i="170"/>
  <c r="M52" i="170"/>
  <c r="M53" i="170"/>
  <c r="M54" i="170"/>
  <c r="M55" i="170"/>
  <c r="M56" i="170"/>
  <c r="M57" i="170"/>
  <c r="M58" i="170"/>
  <c r="M59" i="170"/>
  <c r="M60" i="170"/>
  <c r="M61" i="170"/>
  <c r="M62" i="170"/>
  <c r="M63" i="170"/>
  <c r="M64" i="170"/>
  <c r="M65" i="170"/>
  <c r="M66" i="170"/>
  <c r="M67" i="170"/>
  <c r="M68" i="170"/>
  <c r="M69" i="170"/>
  <c r="M70" i="170"/>
  <c r="M71" i="170"/>
  <c r="M72" i="170"/>
  <c r="M73" i="170"/>
  <c r="M74" i="170"/>
  <c r="M75" i="170"/>
  <c r="M76" i="170"/>
  <c r="M77" i="170"/>
  <c r="M78" i="170"/>
  <c r="M79" i="170"/>
  <c r="M80" i="170"/>
  <c r="M81" i="170"/>
  <c r="M82" i="170"/>
  <c r="M83" i="170"/>
  <c r="M84" i="170"/>
  <c r="M85" i="170"/>
  <c r="M86" i="170"/>
  <c r="M87" i="170"/>
  <c r="M88" i="170"/>
  <c r="M89" i="170"/>
  <c r="M90" i="170"/>
  <c r="M91" i="170"/>
  <c r="M92" i="170"/>
  <c r="M93" i="170"/>
  <c r="M94" i="170"/>
  <c r="M95" i="170"/>
  <c r="M96" i="170"/>
  <c r="M97" i="170"/>
  <c r="M98" i="170"/>
  <c r="M99" i="170"/>
  <c r="M100" i="170"/>
  <c r="M101" i="170"/>
  <c r="M102" i="170"/>
  <c r="M103" i="170"/>
  <c r="M104" i="170"/>
  <c r="M105" i="170"/>
  <c r="M106" i="170"/>
  <c r="M107" i="170"/>
  <c r="M108" i="170"/>
  <c r="M109" i="170"/>
  <c r="M110" i="170"/>
  <c r="M111" i="170"/>
  <c r="M112" i="170"/>
  <c r="M113" i="170"/>
  <c r="M114" i="170"/>
  <c r="M115" i="170"/>
  <c r="M116" i="170"/>
  <c r="M117" i="170"/>
  <c r="M118" i="170"/>
  <c r="M119" i="170"/>
  <c r="M120" i="170"/>
  <c r="M121" i="170"/>
  <c r="M122" i="170"/>
  <c r="M123" i="170"/>
  <c r="M124" i="170"/>
  <c r="M125" i="170"/>
  <c r="M126" i="170"/>
  <c r="M127" i="170"/>
  <c r="M128" i="170"/>
  <c r="M129" i="170"/>
  <c r="M130" i="170"/>
  <c r="M131" i="170"/>
  <c r="M132" i="170"/>
  <c r="M133" i="170"/>
  <c r="M134" i="170"/>
  <c r="M135" i="170"/>
  <c r="M136" i="170"/>
  <c r="M137" i="170"/>
  <c r="M138" i="170"/>
  <c r="M139" i="170"/>
  <c r="M140" i="170"/>
  <c r="M141" i="170"/>
  <c r="M142" i="170"/>
  <c r="M143" i="170"/>
  <c r="M144" i="170"/>
  <c r="M145" i="170"/>
  <c r="M146" i="170"/>
  <c r="M147" i="170"/>
  <c r="M148" i="170"/>
  <c r="M149" i="170"/>
  <c r="M150" i="170"/>
  <c r="M151" i="170"/>
  <c r="M152" i="170"/>
  <c r="M153" i="170"/>
  <c r="M154" i="170"/>
  <c r="M155" i="170"/>
  <c r="M156" i="170"/>
  <c r="M157" i="170"/>
  <c r="M158" i="170"/>
  <c r="M159" i="170"/>
  <c r="M160" i="170"/>
  <c r="M161" i="170"/>
  <c r="M162" i="170"/>
  <c r="M163" i="170"/>
  <c r="M164" i="170"/>
  <c r="M165" i="170"/>
  <c r="M166" i="170"/>
  <c r="M167" i="170"/>
  <c r="M168" i="170"/>
  <c r="M169" i="170"/>
  <c r="M170" i="170"/>
  <c r="M171" i="170"/>
  <c r="M172" i="170"/>
  <c r="M173" i="170"/>
  <c r="M174" i="170"/>
  <c r="M175" i="170"/>
  <c r="M176" i="170"/>
  <c r="M177" i="170"/>
  <c r="M178" i="170"/>
  <c r="M179" i="170"/>
  <c r="M180" i="170"/>
  <c r="M181" i="170"/>
  <c r="M182" i="170"/>
  <c r="M183" i="170"/>
  <c r="M184" i="170"/>
  <c r="M185" i="170"/>
  <c r="M186" i="170"/>
  <c r="M187" i="170"/>
  <c r="M188" i="170"/>
  <c r="M189" i="170"/>
  <c r="M190" i="170"/>
  <c r="M191" i="170"/>
  <c r="M192" i="170"/>
  <c r="M193" i="170"/>
  <c r="M194" i="170"/>
  <c r="M195" i="170"/>
  <c r="M196" i="170"/>
  <c r="M197" i="170"/>
  <c r="M198" i="170"/>
  <c r="M199" i="170"/>
  <c r="M200" i="170"/>
  <c r="M201" i="170"/>
  <c r="I79" i="1" s="1"/>
  <c r="M202" i="170"/>
  <c r="M203" i="170"/>
  <c r="M204" i="170"/>
  <c r="M205" i="170"/>
  <c r="M206" i="170"/>
  <c r="M207" i="170"/>
  <c r="M208" i="170"/>
  <c r="M209" i="170"/>
  <c r="M210" i="170"/>
  <c r="M211" i="170"/>
  <c r="M212" i="170"/>
  <c r="I282" i="1" s="1"/>
  <c r="M213" i="170"/>
  <c r="M214" i="170"/>
  <c r="M215" i="170"/>
  <c r="M216" i="170"/>
  <c r="M217" i="170"/>
  <c r="M218" i="170"/>
  <c r="M219" i="170"/>
  <c r="M220" i="170"/>
  <c r="M221" i="170"/>
  <c r="M222" i="170"/>
  <c r="M223" i="170"/>
  <c r="M224" i="170"/>
  <c r="M225" i="170"/>
  <c r="M226" i="170"/>
  <c r="M227" i="170"/>
  <c r="M228" i="170"/>
  <c r="M229" i="170"/>
  <c r="M230" i="170"/>
  <c r="M231" i="170"/>
  <c r="M232" i="170"/>
  <c r="M233" i="170"/>
  <c r="M234" i="170"/>
  <c r="M235" i="170"/>
  <c r="M236" i="170"/>
  <c r="M237" i="170"/>
  <c r="M238" i="170"/>
  <c r="M239" i="170"/>
  <c r="M240" i="170"/>
  <c r="M241" i="170"/>
  <c r="M242" i="170"/>
  <c r="M243" i="170"/>
  <c r="M244" i="170"/>
  <c r="M245" i="170"/>
  <c r="M246" i="170"/>
  <c r="M247" i="170"/>
  <c r="M248" i="170"/>
  <c r="M249" i="170"/>
  <c r="M250" i="170"/>
  <c r="M251" i="170"/>
  <c r="M252" i="170"/>
  <c r="M253" i="170"/>
  <c r="M254" i="170"/>
  <c r="M255" i="170"/>
  <c r="M256" i="170"/>
  <c r="M257" i="170"/>
  <c r="M258" i="170"/>
  <c r="M259" i="170"/>
  <c r="M260" i="170"/>
  <c r="M261" i="170"/>
  <c r="M262" i="170"/>
  <c r="M263" i="170"/>
  <c r="M264" i="170"/>
  <c r="M265" i="170"/>
  <c r="M266" i="170"/>
  <c r="M267" i="170"/>
  <c r="M268" i="170"/>
  <c r="M269" i="170"/>
  <c r="M270" i="170"/>
  <c r="M271" i="170"/>
  <c r="M272" i="170"/>
  <c r="M273" i="170"/>
  <c r="M274" i="170"/>
  <c r="M275" i="170"/>
  <c r="M276" i="170"/>
  <c r="M277" i="170"/>
  <c r="M278" i="170"/>
  <c r="M279" i="170"/>
  <c r="M280" i="170"/>
  <c r="M281" i="170"/>
  <c r="M282" i="170"/>
  <c r="M283" i="170"/>
  <c r="M284" i="170"/>
  <c r="M285" i="170"/>
  <c r="M286" i="170"/>
  <c r="M287" i="170"/>
  <c r="M288" i="170"/>
  <c r="I128" i="1" s="1"/>
  <c r="M289" i="170"/>
  <c r="M290" i="170"/>
  <c r="M291" i="170"/>
  <c r="M292" i="170"/>
  <c r="M293" i="170"/>
  <c r="M294" i="170"/>
  <c r="M295" i="170"/>
  <c r="M296" i="170"/>
  <c r="M297" i="170"/>
  <c r="M298" i="170"/>
  <c r="M299" i="170"/>
  <c r="M300" i="170"/>
  <c r="M301" i="170"/>
  <c r="M302" i="170"/>
  <c r="M303" i="170"/>
  <c r="M304" i="170"/>
  <c r="M305" i="170"/>
  <c r="M306" i="170"/>
  <c r="M307" i="170"/>
  <c r="M308" i="170"/>
  <c r="I76" i="1" s="1"/>
  <c r="M309" i="170"/>
  <c r="M310" i="170"/>
  <c r="M311" i="170"/>
  <c r="M312" i="170"/>
  <c r="M313" i="170"/>
  <c r="M314" i="170"/>
  <c r="M315" i="170"/>
  <c r="M316" i="170"/>
  <c r="M317" i="170"/>
  <c r="M318" i="170"/>
  <c r="M319" i="170"/>
  <c r="M320" i="170"/>
  <c r="M321" i="170"/>
  <c r="M322" i="170"/>
  <c r="M323" i="170"/>
  <c r="M324" i="170"/>
  <c r="M325" i="170"/>
  <c r="M326" i="170"/>
  <c r="M327" i="170"/>
  <c r="I24" i="1" s="1"/>
  <c r="M328" i="170"/>
  <c r="M329" i="170"/>
  <c r="M330" i="170"/>
  <c r="M331" i="170"/>
  <c r="M332" i="170"/>
  <c r="M333" i="170"/>
  <c r="M334" i="170"/>
  <c r="M335" i="170"/>
  <c r="M336" i="170"/>
  <c r="M337" i="170"/>
  <c r="M338" i="170"/>
  <c r="M339" i="170"/>
  <c r="M340" i="170"/>
  <c r="M341" i="170"/>
  <c r="M342" i="170"/>
  <c r="M343" i="170"/>
  <c r="M344" i="170"/>
  <c r="M345" i="170"/>
  <c r="M346" i="170"/>
  <c r="M347" i="170"/>
  <c r="M348" i="170"/>
  <c r="M349" i="170"/>
  <c r="M350" i="170"/>
  <c r="M351" i="170"/>
  <c r="M352" i="170"/>
  <c r="M353" i="170"/>
  <c r="M354" i="170"/>
  <c r="M355" i="170"/>
  <c r="M356" i="170"/>
  <c r="M357" i="170"/>
  <c r="M358" i="170"/>
  <c r="M359" i="170"/>
  <c r="M360" i="170"/>
  <c r="M361" i="170"/>
  <c r="M362" i="170"/>
  <c r="M363" i="170"/>
  <c r="M364" i="170"/>
  <c r="M365" i="170"/>
  <c r="M366" i="170"/>
  <c r="M367" i="170"/>
  <c r="M368" i="170"/>
  <c r="M369" i="170"/>
  <c r="M370" i="170"/>
  <c r="M371" i="170"/>
  <c r="M372" i="170"/>
  <c r="M373" i="170"/>
  <c r="M374" i="170"/>
  <c r="M375" i="170"/>
  <c r="M376" i="170"/>
  <c r="M377" i="170"/>
  <c r="M378" i="170"/>
  <c r="M379" i="170"/>
  <c r="M380" i="170"/>
  <c r="M381" i="170"/>
  <c r="M382" i="170"/>
  <c r="M383" i="170"/>
  <c r="M384" i="170"/>
  <c r="M385" i="170"/>
  <c r="M386" i="170"/>
  <c r="M387" i="170"/>
  <c r="M388" i="170"/>
  <c r="M389" i="170"/>
  <c r="M390" i="170"/>
  <c r="M391" i="170"/>
  <c r="M392" i="170"/>
  <c r="M393" i="170"/>
  <c r="M394" i="170"/>
  <c r="M395" i="170"/>
  <c r="M396" i="170"/>
  <c r="M397" i="170"/>
  <c r="M5" i="170"/>
  <c r="L6" i="170"/>
  <c r="L7" i="170"/>
  <c r="L8" i="170"/>
  <c r="L9" i="170"/>
  <c r="L10" i="170"/>
  <c r="L11" i="170"/>
  <c r="L12" i="170"/>
  <c r="L13" i="170"/>
  <c r="L14" i="170"/>
  <c r="L15" i="170"/>
  <c r="L16" i="170"/>
  <c r="L17" i="170"/>
  <c r="L18" i="170"/>
  <c r="L19" i="170"/>
  <c r="L20" i="170"/>
  <c r="L21" i="170"/>
  <c r="L22" i="170"/>
  <c r="L23" i="170"/>
  <c r="L24" i="170"/>
  <c r="L25" i="170"/>
  <c r="L26" i="170"/>
  <c r="L27" i="170"/>
  <c r="L28" i="170"/>
  <c r="L29" i="170"/>
  <c r="L30" i="170"/>
  <c r="L31" i="170"/>
  <c r="L32" i="170"/>
  <c r="L33" i="170"/>
  <c r="L34" i="170"/>
  <c r="L35" i="170"/>
  <c r="L36" i="170"/>
  <c r="L37" i="170"/>
  <c r="L38" i="170"/>
  <c r="L39" i="170"/>
  <c r="L40" i="170"/>
  <c r="L41" i="170"/>
  <c r="L42" i="170"/>
  <c r="L43" i="170"/>
  <c r="L44" i="170"/>
  <c r="L45" i="170"/>
  <c r="L46" i="170"/>
  <c r="L47" i="170"/>
  <c r="L48" i="170"/>
  <c r="L49" i="170"/>
  <c r="L50" i="170"/>
  <c r="L51" i="170"/>
  <c r="L52" i="170"/>
  <c r="L53" i="170"/>
  <c r="L54" i="170"/>
  <c r="L55" i="170"/>
  <c r="L56" i="170"/>
  <c r="L57" i="170"/>
  <c r="L58" i="170"/>
  <c r="L59" i="170"/>
  <c r="L60" i="170"/>
  <c r="L61" i="170"/>
  <c r="L62" i="170"/>
  <c r="L63" i="170"/>
  <c r="L64" i="170"/>
  <c r="L65" i="170"/>
  <c r="L66" i="170"/>
  <c r="L67" i="170"/>
  <c r="L68" i="170"/>
  <c r="L69" i="170"/>
  <c r="L70" i="170"/>
  <c r="L71" i="170"/>
  <c r="L72" i="170"/>
  <c r="L73" i="170"/>
  <c r="L74" i="170"/>
  <c r="L75" i="170"/>
  <c r="L76" i="170"/>
  <c r="L77" i="170"/>
  <c r="L78" i="170"/>
  <c r="L79" i="170"/>
  <c r="L80" i="170"/>
  <c r="L81" i="170"/>
  <c r="L82" i="170"/>
  <c r="L83" i="170"/>
  <c r="L84" i="170"/>
  <c r="L85" i="170"/>
  <c r="L86" i="170"/>
  <c r="L87" i="170"/>
  <c r="L88" i="170"/>
  <c r="L89" i="170"/>
  <c r="L90" i="170"/>
  <c r="L91" i="170"/>
  <c r="L92" i="170"/>
  <c r="L93" i="170"/>
  <c r="L94" i="170"/>
  <c r="L95" i="170"/>
  <c r="L96" i="170"/>
  <c r="L97" i="170"/>
  <c r="L98" i="170"/>
  <c r="L99" i="170"/>
  <c r="L100" i="170"/>
  <c r="L101" i="170"/>
  <c r="L102" i="170"/>
  <c r="L103" i="170"/>
  <c r="L104" i="170"/>
  <c r="L105" i="170"/>
  <c r="L106" i="170"/>
  <c r="L107" i="170"/>
  <c r="L108" i="170"/>
  <c r="L109" i="170"/>
  <c r="L110" i="170"/>
  <c r="L111" i="170"/>
  <c r="L112" i="170"/>
  <c r="L113" i="170"/>
  <c r="L114" i="170"/>
  <c r="L115" i="170"/>
  <c r="L116" i="170"/>
  <c r="L117" i="170"/>
  <c r="L118" i="170"/>
  <c r="L119" i="170"/>
  <c r="L120" i="170"/>
  <c r="L121" i="170"/>
  <c r="L122" i="170"/>
  <c r="L123" i="170"/>
  <c r="L124" i="170"/>
  <c r="L125" i="170"/>
  <c r="L126" i="170"/>
  <c r="L127" i="170"/>
  <c r="L128" i="170"/>
  <c r="L129" i="170"/>
  <c r="L130" i="170"/>
  <c r="L131" i="170"/>
  <c r="L132" i="170"/>
  <c r="L133" i="170"/>
  <c r="L134" i="170"/>
  <c r="L135" i="170"/>
  <c r="L136" i="170"/>
  <c r="L137" i="170"/>
  <c r="L138" i="170"/>
  <c r="L139" i="170"/>
  <c r="L140" i="170"/>
  <c r="L141" i="170"/>
  <c r="L142" i="170"/>
  <c r="L143" i="170"/>
  <c r="L144" i="170"/>
  <c r="L145" i="170"/>
  <c r="L146" i="170"/>
  <c r="L147" i="170"/>
  <c r="L148" i="170"/>
  <c r="L149" i="170"/>
  <c r="L150" i="170"/>
  <c r="L151" i="170"/>
  <c r="L152" i="170"/>
  <c r="L153" i="170"/>
  <c r="L154" i="170"/>
  <c r="L155" i="170"/>
  <c r="L156" i="170"/>
  <c r="L157" i="170"/>
  <c r="L158" i="170"/>
  <c r="L159" i="170"/>
  <c r="L160" i="170"/>
  <c r="L161" i="170"/>
  <c r="L162" i="170"/>
  <c r="L163" i="170"/>
  <c r="L164" i="170"/>
  <c r="L165" i="170"/>
  <c r="L166" i="170"/>
  <c r="L167" i="170"/>
  <c r="L168" i="170"/>
  <c r="L169" i="170"/>
  <c r="L170" i="170"/>
  <c r="L171" i="170"/>
  <c r="L172" i="170"/>
  <c r="L173" i="170"/>
  <c r="L174" i="170"/>
  <c r="L175" i="170"/>
  <c r="L176" i="170"/>
  <c r="L177" i="170"/>
  <c r="L178" i="170"/>
  <c r="L179" i="170"/>
  <c r="L180" i="170"/>
  <c r="L181" i="170"/>
  <c r="L182" i="170"/>
  <c r="L183" i="170"/>
  <c r="L184" i="170"/>
  <c r="L185" i="170"/>
  <c r="L186" i="170"/>
  <c r="L187" i="170"/>
  <c r="L188" i="170"/>
  <c r="L189" i="170"/>
  <c r="L190" i="170"/>
  <c r="L191" i="170"/>
  <c r="L192" i="170"/>
  <c r="L193" i="170"/>
  <c r="L194" i="170"/>
  <c r="L195" i="170"/>
  <c r="L196" i="170"/>
  <c r="L197" i="170"/>
  <c r="L198" i="170"/>
  <c r="L199" i="170"/>
  <c r="L200" i="170"/>
  <c r="L201" i="170"/>
  <c r="L202" i="170"/>
  <c r="L203" i="170"/>
  <c r="L204" i="170"/>
  <c r="L205" i="170"/>
  <c r="L206" i="170"/>
  <c r="L207" i="170"/>
  <c r="L208" i="170"/>
  <c r="L209" i="170"/>
  <c r="L210" i="170"/>
  <c r="L211" i="170"/>
  <c r="L212" i="170"/>
  <c r="L213" i="170"/>
  <c r="L214" i="170"/>
  <c r="L215" i="170"/>
  <c r="L216" i="170"/>
  <c r="L217" i="170"/>
  <c r="L218" i="170"/>
  <c r="L219" i="170"/>
  <c r="L220" i="170"/>
  <c r="L221" i="170"/>
  <c r="L222" i="170"/>
  <c r="L223" i="170"/>
  <c r="L224" i="170"/>
  <c r="L225" i="170"/>
  <c r="L226" i="170"/>
  <c r="L227" i="170"/>
  <c r="L228" i="170"/>
  <c r="L229" i="170"/>
  <c r="L230" i="170"/>
  <c r="L231" i="170"/>
  <c r="L232" i="170"/>
  <c r="L233" i="170"/>
  <c r="L234" i="170"/>
  <c r="L235" i="170"/>
  <c r="L236" i="170"/>
  <c r="L237" i="170"/>
  <c r="L238" i="170"/>
  <c r="L239" i="170"/>
  <c r="L240" i="170"/>
  <c r="L241" i="170"/>
  <c r="L242" i="170"/>
  <c r="L243" i="170"/>
  <c r="L244" i="170"/>
  <c r="L245" i="170"/>
  <c r="L246" i="170"/>
  <c r="L247" i="170"/>
  <c r="L248" i="170"/>
  <c r="L249" i="170"/>
  <c r="L250" i="170"/>
  <c r="L251" i="170"/>
  <c r="L252" i="170"/>
  <c r="L253" i="170"/>
  <c r="L254" i="170"/>
  <c r="L255" i="170"/>
  <c r="L256" i="170"/>
  <c r="L257" i="170"/>
  <c r="L258" i="170"/>
  <c r="L259" i="170"/>
  <c r="L260" i="170"/>
  <c r="L261" i="170"/>
  <c r="L262" i="170"/>
  <c r="L263" i="170"/>
  <c r="L264" i="170"/>
  <c r="L265" i="170"/>
  <c r="L266" i="170"/>
  <c r="L267" i="170"/>
  <c r="L268" i="170"/>
  <c r="L269" i="170"/>
  <c r="L270" i="170"/>
  <c r="L271" i="170"/>
  <c r="L272" i="170"/>
  <c r="L273" i="170"/>
  <c r="L274" i="170"/>
  <c r="L275" i="170"/>
  <c r="L276" i="170"/>
  <c r="L277" i="170"/>
  <c r="L278" i="170"/>
  <c r="L279" i="170"/>
  <c r="L280" i="170"/>
  <c r="L281" i="170"/>
  <c r="L282" i="170"/>
  <c r="L283" i="170"/>
  <c r="L284" i="170"/>
  <c r="L285" i="170"/>
  <c r="L286" i="170"/>
  <c r="L287" i="170"/>
  <c r="L288" i="170"/>
  <c r="J128" i="1" s="1"/>
  <c r="L289" i="170"/>
  <c r="L290" i="170"/>
  <c r="L291" i="170"/>
  <c r="L292" i="170"/>
  <c r="L293" i="170"/>
  <c r="L294" i="170"/>
  <c r="L295" i="170"/>
  <c r="L296" i="170"/>
  <c r="L297" i="170"/>
  <c r="L298" i="170"/>
  <c r="L299" i="170"/>
  <c r="L300" i="170"/>
  <c r="L301" i="170"/>
  <c r="L302" i="170"/>
  <c r="L303" i="170"/>
  <c r="L304" i="170"/>
  <c r="L305" i="170"/>
  <c r="L306" i="170"/>
  <c r="L307" i="170"/>
  <c r="L308" i="170"/>
  <c r="L309" i="170"/>
  <c r="L310" i="170"/>
  <c r="L311" i="170"/>
  <c r="L312" i="170"/>
  <c r="L313" i="170"/>
  <c r="L314" i="170"/>
  <c r="L315" i="170"/>
  <c r="L316" i="170"/>
  <c r="L317" i="170"/>
  <c r="L318" i="170"/>
  <c r="L319" i="170"/>
  <c r="L320" i="170"/>
  <c r="L321" i="170"/>
  <c r="L322" i="170"/>
  <c r="L323" i="170"/>
  <c r="L324" i="170"/>
  <c r="L325" i="170"/>
  <c r="L326" i="170"/>
  <c r="L327" i="170"/>
  <c r="L328" i="170"/>
  <c r="L329" i="170"/>
  <c r="L330" i="170"/>
  <c r="L331" i="170"/>
  <c r="L332" i="170"/>
  <c r="L333" i="170"/>
  <c r="L334" i="170"/>
  <c r="L335" i="170"/>
  <c r="L336" i="170"/>
  <c r="L337" i="170"/>
  <c r="L338" i="170"/>
  <c r="L339" i="170"/>
  <c r="L340" i="170"/>
  <c r="L341" i="170"/>
  <c r="L342" i="170"/>
  <c r="L343" i="170"/>
  <c r="L344" i="170"/>
  <c r="L345" i="170"/>
  <c r="L346" i="170"/>
  <c r="L347" i="170"/>
  <c r="L348" i="170"/>
  <c r="L349" i="170"/>
  <c r="L350" i="170"/>
  <c r="L351" i="170"/>
  <c r="L352" i="170"/>
  <c r="L353" i="170"/>
  <c r="L354" i="170"/>
  <c r="L355" i="170"/>
  <c r="L356" i="170"/>
  <c r="L357" i="170"/>
  <c r="L358" i="170"/>
  <c r="L359" i="170"/>
  <c r="L360" i="170"/>
  <c r="L361" i="170"/>
  <c r="L362" i="170"/>
  <c r="L363" i="170"/>
  <c r="L364" i="170"/>
  <c r="L365" i="170"/>
  <c r="L366" i="170"/>
  <c r="L367" i="170"/>
  <c r="L368" i="170"/>
  <c r="L369" i="170"/>
  <c r="L370" i="170"/>
  <c r="L371" i="170"/>
  <c r="L372" i="170"/>
  <c r="L373" i="170"/>
  <c r="L374" i="170"/>
  <c r="L375" i="170"/>
  <c r="L376" i="170"/>
  <c r="L377" i="170"/>
  <c r="L378" i="170"/>
  <c r="L379" i="170"/>
  <c r="L380" i="170"/>
  <c r="L381" i="170"/>
  <c r="L382" i="170"/>
  <c r="L383" i="170"/>
  <c r="L384" i="170"/>
  <c r="L385" i="170"/>
  <c r="L386" i="170"/>
  <c r="L387" i="170"/>
  <c r="L388" i="170"/>
  <c r="L389" i="170"/>
  <c r="L390" i="170"/>
  <c r="L391" i="170"/>
  <c r="L392" i="170"/>
  <c r="L393" i="170"/>
  <c r="L394" i="170"/>
  <c r="L395" i="170"/>
  <c r="L396" i="170"/>
  <c r="L397" i="170"/>
  <c r="L5" i="170"/>
  <c r="AD20" i="1"/>
  <c r="AD184" i="1"/>
  <c r="AD185" i="1"/>
  <c r="AD206" i="1"/>
  <c r="AD214" i="1"/>
  <c r="AD315" i="1"/>
  <c r="AD333" i="1"/>
  <c r="AD334" i="1"/>
  <c r="AD370" i="1"/>
  <c r="AD377" i="1"/>
  <c r="AD383" i="1"/>
  <c r="AC20" i="1"/>
  <c r="AC184" i="1"/>
  <c r="AC185" i="1"/>
  <c r="AC206" i="1"/>
  <c r="AC214" i="1"/>
  <c r="AC315" i="1"/>
  <c r="AC333" i="1"/>
  <c r="AC334" i="1"/>
  <c r="AC370" i="1"/>
  <c r="AC377" i="1"/>
  <c r="AC383" i="1"/>
  <c r="M398" i="170" l="1"/>
  <c r="L398" i="170"/>
  <c r="J24" i="1"/>
  <c r="J76" i="1"/>
  <c r="J282" i="1"/>
  <c r="J79" i="1"/>
  <c r="M6" i="1" l="1"/>
  <c r="L6" i="1"/>
  <c r="AW189" i="1"/>
  <c r="AX189" i="1"/>
  <c r="AU189" i="1"/>
  <c r="BG189" i="1"/>
  <c r="AW181" i="1"/>
  <c r="AX181" i="1"/>
  <c r="AU181" i="1"/>
  <c r="BG181" i="1"/>
  <c r="AW173" i="1"/>
  <c r="AX173" i="1"/>
  <c r="AU173" i="1"/>
  <c r="BG173" i="1"/>
  <c r="AX165" i="1"/>
  <c r="AW165" i="1"/>
  <c r="AU165" i="1"/>
  <c r="BG165" i="1"/>
  <c r="AW157" i="1"/>
  <c r="AX157" i="1"/>
  <c r="AU157" i="1"/>
  <c r="BG157" i="1"/>
  <c r="AW149" i="1"/>
  <c r="AX149" i="1"/>
  <c r="AU149" i="1"/>
  <c r="BG149" i="1"/>
  <c r="AW141" i="1"/>
  <c r="AX141" i="1"/>
  <c r="AU141" i="1"/>
  <c r="BG141" i="1"/>
  <c r="AX397" i="1"/>
  <c r="AW397" i="1"/>
  <c r="AU397" i="1"/>
  <c r="BG397" i="1"/>
  <c r="AW389" i="1"/>
  <c r="AX389" i="1"/>
  <c r="AU389" i="1"/>
  <c r="BG389" i="1"/>
  <c r="AW381" i="1"/>
  <c r="AX381" i="1"/>
  <c r="AU381" i="1"/>
  <c r="BG381" i="1"/>
  <c r="AX373" i="1"/>
  <c r="AW373" i="1"/>
  <c r="AU373" i="1"/>
  <c r="BG373" i="1"/>
  <c r="AW365" i="1"/>
  <c r="AX365" i="1"/>
  <c r="AU365" i="1"/>
  <c r="BG365" i="1"/>
  <c r="AW357" i="1"/>
  <c r="AX357" i="1"/>
  <c r="AU357" i="1"/>
  <c r="BG357" i="1"/>
  <c r="AX349" i="1"/>
  <c r="AW349" i="1"/>
  <c r="AU349" i="1"/>
  <c r="BG349" i="1"/>
  <c r="AW341" i="1"/>
  <c r="AX341" i="1"/>
  <c r="AU341" i="1"/>
  <c r="BG341" i="1"/>
  <c r="AX333" i="1"/>
  <c r="AW333" i="1"/>
  <c r="AU333" i="1"/>
  <c r="BG333" i="1"/>
  <c r="AW325" i="1"/>
  <c r="AX325" i="1"/>
  <c r="AU325" i="1"/>
  <c r="BG325" i="1"/>
  <c r="AW317" i="1"/>
  <c r="AX317" i="1"/>
  <c r="AU317" i="1"/>
  <c r="BG317" i="1"/>
  <c r="AX309" i="1"/>
  <c r="AW309" i="1"/>
  <c r="AU309" i="1"/>
  <c r="BG309" i="1"/>
  <c r="AW301" i="1"/>
  <c r="AX301" i="1"/>
  <c r="AU301" i="1"/>
  <c r="BG301" i="1"/>
  <c r="AW293" i="1"/>
  <c r="AX293" i="1"/>
  <c r="AU293" i="1"/>
  <c r="BG293" i="1"/>
  <c r="AX285" i="1"/>
  <c r="AW285" i="1"/>
  <c r="AU285" i="1"/>
  <c r="BG285" i="1"/>
  <c r="AX276" i="1"/>
  <c r="AU276" i="1"/>
  <c r="AW276" i="1"/>
  <c r="BG276" i="1"/>
  <c r="AX268" i="1"/>
  <c r="AW268" i="1"/>
  <c r="AU268" i="1"/>
  <c r="BG268" i="1"/>
  <c r="AX260" i="1"/>
  <c r="AW260" i="1"/>
  <c r="AU260" i="1"/>
  <c r="BG260" i="1"/>
  <c r="AX252" i="1"/>
  <c r="AW252" i="1"/>
  <c r="AU252" i="1"/>
  <c r="BG252" i="1"/>
  <c r="AX244" i="1"/>
  <c r="AW244" i="1"/>
  <c r="AU244" i="1"/>
  <c r="BG244" i="1"/>
  <c r="AX236" i="1"/>
  <c r="AW236" i="1"/>
  <c r="AU236" i="1"/>
  <c r="BG236" i="1"/>
  <c r="AX228" i="1"/>
  <c r="AU228" i="1"/>
  <c r="AW228" i="1"/>
  <c r="BG228" i="1"/>
  <c r="AX220" i="1"/>
  <c r="AW220" i="1"/>
  <c r="AU220" i="1"/>
  <c r="BG220" i="1"/>
  <c r="AX212" i="1"/>
  <c r="AW212" i="1"/>
  <c r="AU212" i="1"/>
  <c r="BG212" i="1"/>
  <c r="AX204" i="1"/>
  <c r="AW204" i="1"/>
  <c r="AU204" i="1"/>
  <c r="BG204" i="1"/>
  <c r="AX196" i="1"/>
  <c r="AW196" i="1"/>
  <c r="AU196" i="1"/>
  <c r="BG196" i="1"/>
  <c r="AX188" i="1"/>
  <c r="AW188" i="1"/>
  <c r="AU188" i="1"/>
  <c r="BG188" i="1"/>
  <c r="AX180" i="1"/>
  <c r="AW180" i="1"/>
  <c r="AU180" i="1"/>
  <c r="BG180" i="1"/>
  <c r="AX172" i="1"/>
  <c r="AW172" i="1"/>
  <c r="AU172" i="1"/>
  <c r="BG172" i="1"/>
  <c r="AX164" i="1"/>
  <c r="AW164" i="1"/>
  <c r="AU164" i="1"/>
  <c r="BG164" i="1"/>
  <c r="AX156" i="1"/>
  <c r="AW156" i="1"/>
  <c r="AU156" i="1"/>
  <c r="BG156" i="1"/>
  <c r="AX148" i="1"/>
  <c r="AW148" i="1"/>
  <c r="AU148" i="1"/>
  <c r="BG148" i="1"/>
  <c r="AX140" i="1"/>
  <c r="AW140" i="1"/>
  <c r="AU140" i="1"/>
  <c r="BG140" i="1"/>
  <c r="AW132" i="1"/>
  <c r="AX132" i="1"/>
  <c r="AU132" i="1"/>
  <c r="BG132" i="1"/>
  <c r="AX124" i="1"/>
  <c r="AW124" i="1"/>
  <c r="AU124" i="1"/>
  <c r="BG124" i="1"/>
  <c r="AX116" i="1"/>
  <c r="AW116" i="1"/>
  <c r="AU116" i="1"/>
  <c r="BG116" i="1"/>
  <c r="AX108" i="1"/>
  <c r="AW108" i="1"/>
  <c r="AU108" i="1"/>
  <c r="BG108" i="1"/>
  <c r="AX99" i="1"/>
  <c r="AU99" i="1"/>
  <c r="AW99" i="1"/>
  <c r="BG99" i="1"/>
  <c r="AX91" i="1"/>
  <c r="AW91" i="1"/>
  <c r="AU91" i="1"/>
  <c r="BG91" i="1"/>
  <c r="AX83" i="1"/>
  <c r="AW83" i="1"/>
  <c r="AU83" i="1"/>
  <c r="BG83" i="1"/>
  <c r="AX73" i="1"/>
  <c r="AW73" i="1"/>
  <c r="AU73" i="1"/>
  <c r="BG73" i="1"/>
  <c r="AX65" i="1"/>
  <c r="AW65" i="1"/>
  <c r="AU65" i="1"/>
  <c r="BG65" i="1"/>
  <c r="AX57" i="1"/>
  <c r="AW57" i="1"/>
  <c r="AU57" i="1"/>
  <c r="BG57" i="1"/>
  <c r="AX49" i="1"/>
  <c r="AW49" i="1"/>
  <c r="AU49" i="1"/>
  <c r="BG49" i="1"/>
  <c r="AW41" i="1"/>
  <c r="AX41" i="1"/>
  <c r="AU41" i="1"/>
  <c r="BG41" i="1"/>
  <c r="AX33" i="1"/>
  <c r="AW33" i="1"/>
  <c r="AU33" i="1"/>
  <c r="BG33" i="1"/>
  <c r="AX25" i="1"/>
  <c r="AW25" i="1"/>
  <c r="AU25" i="1"/>
  <c r="BG25" i="1"/>
  <c r="AX17" i="1"/>
  <c r="AW17" i="1"/>
  <c r="AU17" i="1"/>
  <c r="BG17" i="1"/>
  <c r="AX9" i="1"/>
  <c r="AW9" i="1"/>
  <c r="AU9" i="1"/>
  <c r="BG9" i="1"/>
  <c r="AX131" i="1"/>
  <c r="AU131" i="1"/>
  <c r="AW131" i="1"/>
  <c r="BG131" i="1"/>
  <c r="AX123" i="1"/>
  <c r="AW123" i="1"/>
  <c r="AU123" i="1"/>
  <c r="BG123" i="1"/>
  <c r="AX115" i="1"/>
  <c r="AW115" i="1"/>
  <c r="AU115" i="1"/>
  <c r="BG115" i="1"/>
  <c r="AW107" i="1"/>
  <c r="AX107" i="1"/>
  <c r="AU107" i="1"/>
  <c r="BG107" i="1"/>
  <c r="AX98" i="1"/>
  <c r="AW98" i="1"/>
  <c r="AU98" i="1"/>
  <c r="BG98" i="1"/>
  <c r="AX90" i="1"/>
  <c r="AW90" i="1"/>
  <c r="AU90" i="1"/>
  <c r="BG90" i="1"/>
  <c r="AX82" i="1"/>
  <c r="AW82" i="1"/>
  <c r="AU82" i="1"/>
  <c r="BG82" i="1"/>
  <c r="AX72" i="1"/>
  <c r="AW72" i="1"/>
  <c r="AU72" i="1"/>
  <c r="BG72" i="1"/>
  <c r="AX64" i="1"/>
  <c r="AW64" i="1"/>
  <c r="AU64" i="1"/>
  <c r="BG64" i="1"/>
  <c r="AX56" i="1"/>
  <c r="AW56" i="1"/>
  <c r="AU56" i="1"/>
  <c r="BG56" i="1"/>
  <c r="AX48" i="1"/>
  <c r="AW48" i="1"/>
  <c r="AU48" i="1"/>
  <c r="BG48" i="1"/>
  <c r="AX40" i="1"/>
  <c r="AW40" i="1"/>
  <c r="AU40" i="1"/>
  <c r="BG40" i="1"/>
  <c r="AX32" i="1"/>
  <c r="AW32" i="1"/>
  <c r="AU32" i="1"/>
  <c r="BG32" i="1"/>
  <c r="AX24" i="1"/>
  <c r="AW24" i="1"/>
  <c r="AU24" i="1"/>
  <c r="BG24" i="1"/>
  <c r="AX16" i="1"/>
  <c r="AW16" i="1"/>
  <c r="AU16" i="1"/>
  <c r="BG16" i="1"/>
  <c r="AX8" i="1"/>
  <c r="AW8" i="1"/>
  <c r="AU8" i="1"/>
  <c r="BG8" i="1"/>
  <c r="AX130" i="1"/>
  <c r="AW130" i="1"/>
  <c r="AU130" i="1"/>
  <c r="BG130" i="1"/>
  <c r="AX122" i="1"/>
  <c r="AW122" i="1"/>
  <c r="AU122" i="1"/>
  <c r="BG122" i="1"/>
  <c r="AX114" i="1"/>
  <c r="AW114" i="1"/>
  <c r="AU114" i="1"/>
  <c r="BG114" i="1"/>
  <c r="AX106" i="1"/>
  <c r="AW106" i="1"/>
  <c r="AU106" i="1"/>
  <c r="BG106" i="1"/>
  <c r="AX97" i="1"/>
  <c r="AW97" i="1"/>
  <c r="AU97" i="1"/>
  <c r="BG97" i="1"/>
  <c r="AX89" i="1"/>
  <c r="AW89" i="1"/>
  <c r="AU89" i="1"/>
  <c r="BG89" i="1"/>
  <c r="AX81" i="1"/>
  <c r="AW81" i="1"/>
  <c r="AU81" i="1"/>
  <c r="BG81" i="1"/>
  <c r="AX71" i="1"/>
  <c r="AW71" i="1"/>
  <c r="AU71" i="1"/>
  <c r="BG71" i="1"/>
  <c r="AX63" i="1"/>
  <c r="AW63" i="1"/>
  <c r="AU63" i="1"/>
  <c r="BG63" i="1"/>
  <c r="AX55" i="1"/>
  <c r="AW55" i="1"/>
  <c r="AU55" i="1"/>
  <c r="BG55" i="1"/>
  <c r="AX47" i="1"/>
  <c r="AW47" i="1"/>
  <c r="AU47" i="1"/>
  <c r="BG47" i="1"/>
  <c r="AX39" i="1"/>
  <c r="AW39" i="1"/>
  <c r="AU39" i="1"/>
  <c r="BG39" i="1"/>
  <c r="AX31" i="1"/>
  <c r="AW31" i="1"/>
  <c r="AU31" i="1"/>
  <c r="BG31" i="1"/>
  <c r="AX23" i="1"/>
  <c r="AW23" i="1"/>
  <c r="AU23" i="1"/>
  <c r="BG23" i="1"/>
  <c r="AX15" i="1"/>
  <c r="AW15" i="1"/>
  <c r="AU15" i="1"/>
  <c r="BG15" i="1"/>
  <c r="AX7" i="1"/>
  <c r="AW7" i="1"/>
  <c r="AU7" i="1"/>
  <c r="BG7" i="1"/>
  <c r="AX137" i="1"/>
  <c r="AW137" i="1"/>
  <c r="AU137" i="1"/>
  <c r="BG137" i="1"/>
  <c r="AX129" i="1"/>
  <c r="AW129" i="1"/>
  <c r="AU129" i="1"/>
  <c r="BG129" i="1"/>
  <c r="AX121" i="1"/>
  <c r="AW121" i="1"/>
  <c r="AU121" i="1"/>
  <c r="BG121" i="1"/>
  <c r="AX113" i="1"/>
  <c r="AW113" i="1"/>
  <c r="AU113" i="1"/>
  <c r="BG113" i="1"/>
  <c r="AX105" i="1"/>
  <c r="AW105" i="1"/>
  <c r="AU105" i="1"/>
  <c r="BG105" i="1"/>
  <c r="AX96" i="1"/>
  <c r="AW96" i="1"/>
  <c r="AU96" i="1"/>
  <c r="BG96" i="1"/>
  <c r="AX88" i="1"/>
  <c r="AW88" i="1"/>
  <c r="AU88" i="1"/>
  <c r="BG88" i="1"/>
  <c r="AX80" i="1"/>
  <c r="AW80" i="1"/>
  <c r="AU80" i="1"/>
  <c r="BG80" i="1"/>
  <c r="AX70" i="1"/>
  <c r="AW70" i="1"/>
  <c r="AU70" i="1"/>
  <c r="BG70" i="1"/>
  <c r="AX62" i="1"/>
  <c r="AW62" i="1"/>
  <c r="AU62" i="1"/>
  <c r="BG62" i="1"/>
  <c r="AX54" i="1"/>
  <c r="AW54" i="1"/>
  <c r="AU54" i="1"/>
  <c r="BG54" i="1"/>
  <c r="AX46" i="1"/>
  <c r="AW46" i="1"/>
  <c r="AU46" i="1"/>
  <c r="BG46" i="1"/>
  <c r="AX38" i="1"/>
  <c r="AW38" i="1"/>
  <c r="AU38" i="1"/>
  <c r="BG38" i="1"/>
  <c r="AX30" i="1"/>
  <c r="AW30" i="1"/>
  <c r="AU30" i="1"/>
  <c r="BG30" i="1"/>
  <c r="AX22" i="1"/>
  <c r="AW22" i="1"/>
  <c r="AU22" i="1"/>
  <c r="BG22" i="1"/>
  <c r="AX14" i="1"/>
  <c r="AW14" i="1"/>
  <c r="AU14" i="1"/>
  <c r="BG14" i="1"/>
  <c r="AX390" i="1"/>
  <c r="AW390" i="1"/>
  <c r="AU390" i="1"/>
  <c r="BG390" i="1"/>
  <c r="AX366" i="1"/>
  <c r="AW366" i="1"/>
  <c r="AU366" i="1"/>
  <c r="BG366" i="1"/>
  <c r="AX326" i="1"/>
  <c r="AW326" i="1"/>
  <c r="AU326" i="1"/>
  <c r="BG326" i="1"/>
  <c r="AX302" i="1"/>
  <c r="AW302" i="1"/>
  <c r="AU302" i="1"/>
  <c r="BG302" i="1"/>
  <c r="AW277" i="1"/>
  <c r="AX277" i="1"/>
  <c r="AU277" i="1"/>
  <c r="BG277" i="1"/>
  <c r="AX261" i="1"/>
  <c r="AW261" i="1"/>
  <c r="AU261" i="1"/>
  <c r="BG261" i="1"/>
  <c r="AX237" i="1"/>
  <c r="AW237" i="1"/>
  <c r="AU237" i="1"/>
  <c r="BG237" i="1"/>
  <c r="AX221" i="1"/>
  <c r="AW221" i="1"/>
  <c r="AU221" i="1"/>
  <c r="BG221" i="1"/>
  <c r="AX197" i="1"/>
  <c r="AW197" i="1"/>
  <c r="AU197" i="1"/>
  <c r="BG197" i="1"/>
  <c r="AX388" i="1"/>
  <c r="AW388" i="1"/>
  <c r="AU388" i="1"/>
  <c r="BG388" i="1"/>
  <c r="AX372" i="1"/>
  <c r="AU372" i="1"/>
  <c r="AW372" i="1"/>
  <c r="BG372" i="1"/>
  <c r="AX356" i="1"/>
  <c r="AW356" i="1"/>
  <c r="AU356" i="1"/>
  <c r="BG356" i="1"/>
  <c r="AX348" i="1"/>
  <c r="AW348" i="1"/>
  <c r="AU348" i="1"/>
  <c r="BG348" i="1"/>
  <c r="AX332" i="1"/>
  <c r="AW332" i="1"/>
  <c r="AU332" i="1"/>
  <c r="BG332" i="1"/>
  <c r="AX316" i="1"/>
  <c r="AW316" i="1"/>
  <c r="AU316" i="1"/>
  <c r="BG316" i="1"/>
  <c r="AX300" i="1"/>
  <c r="AW300" i="1"/>
  <c r="AU300" i="1"/>
  <c r="BG300" i="1"/>
  <c r="AX292" i="1"/>
  <c r="AW292" i="1"/>
  <c r="AU292" i="1"/>
  <c r="BG292" i="1"/>
  <c r="AW275" i="1"/>
  <c r="AX275" i="1"/>
  <c r="AU275" i="1"/>
  <c r="BG275" i="1"/>
  <c r="AX259" i="1"/>
  <c r="AW259" i="1"/>
  <c r="AU259" i="1"/>
  <c r="BG259" i="1"/>
  <c r="AX243" i="1"/>
  <c r="AW243" i="1"/>
  <c r="AU243" i="1"/>
  <c r="BG243" i="1"/>
  <c r="AX227" i="1"/>
  <c r="AW227" i="1"/>
  <c r="AU227" i="1"/>
  <c r="BG227" i="1"/>
  <c r="AW211" i="1"/>
  <c r="AX211" i="1"/>
  <c r="AU211" i="1"/>
  <c r="BG211" i="1"/>
  <c r="AX195" i="1"/>
  <c r="AW195" i="1"/>
  <c r="AU195" i="1"/>
  <c r="BG195" i="1"/>
  <c r="AX179" i="1"/>
  <c r="AW179" i="1"/>
  <c r="AU179" i="1"/>
  <c r="BG179" i="1"/>
  <c r="AX163" i="1"/>
  <c r="AU163" i="1"/>
  <c r="AW163" i="1"/>
  <c r="BG163" i="1"/>
  <c r="AW147" i="1"/>
  <c r="AX147" i="1"/>
  <c r="AU147" i="1"/>
  <c r="BG147" i="1"/>
  <c r="AX395" i="1"/>
  <c r="AW395" i="1"/>
  <c r="AU395" i="1"/>
  <c r="BG395" i="1"/>
  <c r="AX379" i="1"/>
  <c r="AW379" i="1"/>
  <c r="AU379" i="1"/>
  <c r="BG379" i="1"/>
  <c r="AX363" i="1"/>
  <c r="AW363" i="1"/>
  <c r="AU363" i="1"/>
  <c r="BG363" i="1"/>
  <c r="AX347" i="1"/>
  <c r="AW347" i="1"/>
  <c r="AU347" i="1"/>
  <c r="BG347" i="1"/>
  <c r="AX331" i="1"/>
  <c r="AW331" i="1"/>
  <c r="AU331" i="1"/>
  <c r="BG331" i="1"/>
  <c r="AX315" i="1"/>
  <c r="AW315" i="1"/>
  <c r="AU315" i="1"/>
  <c r="BG315" i="1"/>
  <c r="AX299" i="1"/>
  <c r="AW299" i="1"/>
  <c r="AU299" i="1"/>
  <c r="BG299" i="1"/>
  <c r="AW283" i="1"/>
  <c r="AX283" i="1"/>
  <c r="AU283" i="1"/>
  <c r="BG283" i="1"/>
  <c r="AX266" i="1"/>
  <c r="AW266" i="1"/>
  <c r="AU266" i="1"/>
  <c r="BG266" i="1"/>
  <c r="AX250" i="1"/>
  <c r="AW250" i="1"/>
  <c r="AU250" i="1"/>
  <c r="BG250" i="1"/>
  <c r="AX234" i="1"/>
  <c r="AW234" i="1"/>
  <c r="AU234" i="1"/>
  <c r="BG234" i="1"/>
  <c r="AX218" i="1"/>
  <c r="AW218" i="1"/>
  <c r="AU218" i="1"/>
  <c r="BG218" i="1"/>
  <c r="AX202" i="1"/>
  <c r="AW202" i="1"/>
  <c r="AU202" i="1"/>
  <c r="BG202" i="1"/>
  <c r="AX194" i="1"/>
  <c r="AW194" i="1"/>
  <c r="AU194" i="1"/>
  <c r="BG194" i="1"/>
  <c r="AX178" i="1"/>
  <c r="AW178" i="1"/>
  <c r="AU178" i="1"/>
  <c r="BG178" i="1"/>
  <c r="AX170" i="1"/>
  <c r="AW170" i="1"/>
  <c r="AU170" i="1"/>
  <c r="BG170" i="1"/>
  <c r="AX162" i="1"/>
  <c r="AW162" i="1"/>
  <c r="AU162" i="1"/>
  <c r="BG162" i="1"/>
  <c r="AX154" i="1"/>
  <c r="AW154" i="1"/>
  <c r="AU154" i="1"/>
  <c r="BG154" i="1"/>
  <c r="AX146" i="1"/>
  <c r="AW146" i="1"/>
  <c r="AU146" i="1"/>
  <c r="BG146" i="1"/>
  <c r="AX138" i="1"/>
  <c r="AW138" i="1"/>
  <c r="AU138" i="1"/>
  <c r="BG138" i="1"/>
  <c r="AX394" i="1"/>
  <c r="AW394" i="1"/>
  <c r="AU394" i="1"/>
  <c r="BG394" i="1"/>
  <c r="AX386" i="1"/>
  <c r="AW386" i="1"/>
  <c r="AU386" i="1"/>
  <c r="BG386" i="1"/>
  <c r="AX378" i="1"/>
  <c r="AW378" i="1"/>
  <c r="AU378" i="1"/>
  <c r="BG378" i="1"/>
  <c r="AX370" i="1"/>
  <c r="AW370" i="1"/>
  <c r="AU370" i="1"/>
  <c r="BG370" i="1"/>
  <c r="AX362" i="1"/>
  <c r="AW362" i="1"/>
  <c r="AU362" i="1"/>
  <c r="BG362" i="1"/>
  <c r="AX354" i="1"/>
  <c r="AW354" i="1"/>
  <c r="AU354" i="1"/>
  <c r="BG354" i="1"/>
  <c r="AX346" i="1"/>
  <c r="AW346" i="1"/>
  <c r="AU346" i="1"/>
  <c r="BG346" i="1"/>
  <c r="AX338" i="1"/>
  <c r="AW338" i="1"/>
  <c r="AU338" i="1"/>
  <c r="BG338" i="1"/>
  <c r="AX330" i="1"/>
  <c r="AW330" i="1"/>
  <c r="AU330" i="1"/>
  <c r="BG330" i="1"/>
  <c r="AX322" i="1"/>
  <c r="AW322" i="1"/>
  <c r="AU322" i="1"/>
  <c r="BG322" i="1"/>
  <c r="AX314" i="1"/>
  <c r="AW314" i="1"/>
  <c r="AU314" i="1"/>
  <c r="BG314" i="1"/>
  <c r="AX306" i="1"/>
  <c r="AW306" i="1"/>
  <c r="AU306" i="1"/>
  <c r="BG306" i="1"/>
  <c r="AX298" i="1"/>
  <c r="AW298" i="1"/>
  <c r="AU298" i="1"/>
  <c r="BG298" i="1"/>
  <c r="AX290" i="1"/>
  <c r="AW290" i="1"/>
  <c r="AU290" i="1"/>
  <c r="BG290" i="1"/>
  <c r="AW281" i="1"/>
  <c r="AX281" i="1"/>
  <c r="AU281" i="1"/>
  <c r="BG281" i="1"/>
  <c r="AX273" i="1"/>
  <c r="AW273" i="1"/>
  <c r="AU273" i="1"/>
  <c r="BG273" i="1"/>
  <c r="AX265" i="1"/>
  <c r="AW265" i="1"/>
  <c r="AU265" i="1"/>
  <c r="BG265" i="1"/>
  <c r="AX257" i="1"/>
  <c r="AW257" i="1"/>
  <c r="AU257" i="1"/>
  <c r="BG257" i="1"/>
  <c r="AX249" i="1"/>
  <c r="AW249" i="1"/>
  <c r="AU249" i="1"/>
  <c r="BG249" i="1"/>
  <c r="AX241" i="1"/>
  <c r="AW241" i="1"/>
  <c r="AU241" i="1"/>
  <c r="BG241" i="1"/>
  <c r="AX233" i="1"/>
  <c r="AW233" i="1"/>
  <c r="AU233" i="1"/>
  <c r="BG233" i="1"/>
  <c r="AX225" i="1"/>
  <c r="AW225" i="1"/>
  <c r="AU225" i="1"/>
  <c r="BG225" i="1"/>
  <c r="AW217" i="1"/>
  <c r="AX217" i="1"/>
  <c r="AU217" i="1"/>
  <c r="BG217" i="1"/>
  <c r="AX209" i="1"/>
  <c r="AW209" i="1"/>
  <c r="AU209" i="1"/>
  <c r="BG209" i="1"/>
  <c r="AX201" i="1"/>
  <c r="AW201" i="1"/>
  <c r="AU201" i="1"/>
  <c r="BG201" i="1"/>
  <c r="AX193" i="1"/>
  <c r="AW193" i="1"/>
  <c r="AU193" i="1"/>
  <c r="BG193" i="1"/>
  <c r="AX185" i="1"/>
  <c r="AW185" i="1"/>
  <c r="AU185" i="1"/>
  <c r="BG185" i="1"/>
  <c r="AX177" i="1"/>
  <c r="AW177" i="1"/>
  <c r="AU177" i="1"/>
  <c r="BG177" i="1"/>
  <c r="AX169" i="1"/>
  <c r="AW169" i="1"/>
  <c r="AU169" i="1"/>
  <c r="BG169" i="1"/>
  <c r="AX161" i="1"/>
  <c r="AW161" i="1"/>
  <c r="AU161" i="1"/>
  <c r="BG161" i="1"/>
  <c r="AW153" i="1"/>
  <c r="AX153" i="1"/>
  <c r="AU153" i="1"/>
  <c r="BG153" i="1"/>
  <c r="AX145" i="1"/>
  <c r="AW145" i="1"/>
  <c r="AU145" i="1"/>
  <c r="BG145" i="1"/>
  <c r="AX393" i="1"/>
  <c r="AW393" i="1"/>
  <c r="AU393" i="1"/>
  <c r="BG393" i="1"/>
  <c r="AX385" i="1"/>
  <c r="AW385" i="1"/>
  <c r="AU385" i="1"/>
  <c r="BG385" i="1"/>
  <c r="AX377" i="1"/>
  <c r="AW377" i="1"/>
  <c r="AU377" i="1"/>
  <c r="BG377" i="1"/>
  <c r="AX369" i="1"/>
  <c r="AW369" i="1"/>
  <c r="AU369" i="1"/>
  <c r="BG369" i="1"/>
  <c r="AX361" i="1"/>
  <c r="AW361" i="1"/>
  <c r="AU361" i="1"/>
  <c r="BG361" i="1"/>
  <c r="AX353" i="1"/>
  <c r="AW353" i="1"/>
  <c r="AU353" i="1"/>
  <c r="BG353" i="1"/>
  <c r="AX345" i="1"/>
  <c r="AW345" i="1"/>
  <c r="AU345" i="1"/>
  <c r="BG345" i="1"/>
  <c r="AX337" i="1"/>
  <c r="AW337" i="1"/>
  <c r="AU337" i="1"/>
  <c r="BG337" i="1"/>
  <c r="AX329" i="1"/>
  <c r="AW329" i="1"/>
  <c r="AU329" i="1"/>
  <c r="BG329" i="1"/>
  <c r="AX321" i="1"/>
  <c r="AW321" i="1"/>
  <c r="AU321" i="1"/>
  <c r="BG321" i="1"/>
  <c r="AX313" i="1"/>
  <c r="AW313" i="1"/>
  <c r="AU313" i="1"/>
  <c r="BG313" i="1"/>
  <c r="AX305" i="1"/>
  <c r="AW305" i="1"/>
  <c r="AU305" i="1"/>
  <c r="BG305" i="1"/>
  <c r="AX297" i="1"/>
  <c r="AW297" i="1"/>
  <c r="AU297" i="1"/>
  <c r="BG297" i="1"/>
  <c r="AX289" i="1"/>
  <c r="AW289" i="1"/>
  <c r="AU289" i="1"/>
  <c r="BG289" i="1"/>
  <c r="AX280" i="1"/>
  <c r="AW280" i="1"/>
  <c r="AU280" i="1"/>
  <c r="BG280" i="1"/>
  <c r="AX272" i="1"/>
  <c r="AW272" i="1"/>
  <c r="AU272" i="1"/>
  <c r="BG272" i="1"/>
  <c r="AX264" i="1"/>
  <c r="AW264" i="1"/>
  <c r="AU264" i="1"/>
  <c r="BG264" i="1"/>
  <c r="AX256" i="1"/>
  <c r="AW256" i="1"/>
  <c r="AU256" i="1"/>
  <c r="BG256" i="1"/>
  <c r="AX248" i="1"/>
  <c r="AW248" i="1"/>
  <c r="AU248" i="1"/>
  <c r="BG248" i="1"/>
  <c r="AX240" i="1"/>
  <c r="AW240" i="1"/>
  <c r="AU240" i="1"/>
  <c r="BG240" i="1"/>
  <c r="AX232" i="1"/>
  <c r="AW232" i="1"/>
  <c r="AU232" i="1"/>
  <c r="BG232" i="1"/>
  <c r="AX224" i="1"/>
  <c r="AW224" i="1"/>
  <c r="AU224" i="1"/>
  <c r="BG224" i="1"/>
  <c r="AX216" i="1"/>
  <c r="AW216" i="1"/>
  <c r="AU216" i="1"/>
  <c r="BG216" i="1"/>
  <c r="AX208" i="1"/>
  <c r="AW208" i="1"/>
  <c r="AU208" i="1"/>
  <c r="BG208" i="1"/>
  <c r="AX200" i="1"/>
  <c r="AW200" i="1"/>
  <c r="AU200" i="1"/>
  <c r="BG200" i="1"/>
  <c r="AX192" i="1"/>
  <c r="AW192" i="1"/>
  <c r="AU192" i="1"/>
  <c r="BG192" i="1"/>
  <c r="AX184" i="1"/>
  <c r="AW184" i="1"/>
  <c r="AU184" i="1"/>
  <c r="BG184" i="1"/>
  <c r="AX176" i="1"/>
  <c r="AW176" i="1"/>
  <c r="AU176" i="1"/>
  <c r="BG176" i="1"/>
  <c r="AX168" i="1"/>
  <c r="AW168" i="1"/>
  <c r="AU168" i="1"/>
  <c r="BG168" i="1"/>
  <c r="AX160" i="1"/>
  <c r="AW160" i="1"/>
  <c r="AU160" i="1"/>
  <c r="BG160" i="1"/>
  <c r="AX152" i="1"/>
  <c r="AW152" i="1"/>
  <c r="AU152" i="1"/>
  <c r="BG152" i="1"/>
  <c r="AX144" i="1"/>
  <c r="AW144" i="1"/>
  <c r="AU144" i="1"/>
  <c r="BG144" i="1"/>
  <c r="AX136" i="1"/>
  <c r="AW136" i="1"/>
  <c r="AU136" i="1"/>
  <c r="BG136" i="1"/>
  <c r="AX128" i="1"/>
  <c r="AW128" i="1"/>
  <c r="AU128" i="1"/>
  <c r="BG128" i="1"/>
  <c r="AX120" i="1"/>
  <c r="AW120" i="1"/>
  <c r="AU120" i="1"/>
  <c r="BG120" i="1"/>
  <c r="AX112" i="1"/>
  <c r="AW112" i="1"/>
  <c r="AU112" i="1"/>
  <c r="BG112" i="1"/>
  <c r="AX104" i="1"/>
  <c r="AW104" i="1"/>
  <c r="AU104" i="1"/>
  <c r="BG104" i="1"/>
  <c r="AX95" i="1"/>
  <c r="AW95" i="1"/>
  <c r="AU95" i="1"/>
  <c r="BG95" i="1"/>
  <c r="AX87" i="1"/>
  <c r="AW87" i="1"/>
  <c r="AU87" i="1"/>
  <c r="BG87" i="1"/>
  <c r="AX78" i="1"/>
  <c r="AW78" i="1"/>
  <c r="AU78" i="1"/>
  <c r="BG78" i="1"/>
  <c r="AX69" i="1"/>
  <c r="AW69" i="1"/>
  <c r="AU69" i="1"/>
  <c r="BG69" i="1"/>
  <c r="AW61" i="1"/>
  <c r="AX61" i="1"/>
  <c r="AU61" i="1"/>
  <c r="BG61" i="1"/>
  <c r="AW53" i="1"/>
  <c r="AX53" i="1"/>
  <c r="AU53" i="1"/>
  <c r="BG53" i="1"/>
  <c r="AX45" i="1"/>
  <c r="AW45" i="1"/>
  <c r="AU45" i="1"/>
  <c r="BG45" i="1"/>
  <c r="AW37" i="1"/>
  <c r="AX37" i="1"/>
  <c r="AU37" i="1"/>
  <c r="BG37" i="1"/>
  <c r="AX29" i="1"/>
  <c r="AW29" i="1"/>
  <c r="AU29" i="1"/>
  <c r="BG29" i="1"/>
  <c r="AX21" i="1"/>
  <c r="AW21" i="1"/>
  <c r="AU21" i="1"/>
  <c r="BG21" i="1"/>
  <c r="AW13" i="1"/>
  <c r="AX13" i="1"/>
  <c r="AU13" i="1"/>
  <c r="BG13" i="1"/>
  <c r="AX135" i="1"/>
  <c r="AW135" i="1"/>
  <c r="AU135" i="1"/>
  <c r="BG135" i="1"/>
  <c r="AW127" i="1"/>
  <c r="AX127" i="1"/>
  <c r="AU127" i="1"/>
  <c r="BG127" i="1"/>
  <c r="AX119" i="1"/>
  <c r="AW119" i="1"/>
  <c r="AU119" i="1"/>
  <c r="BG119" i="1"/>
  <c r="AX111" i="1"/>
  <c r="AW111" i="1"/>
  <c r="AU111" i="1"/>
  <c r="BG111" i="1"/>
  <c r="AX102" i="1"/>
  <c r="AW102" i="1"/>
  <c r="AU102" i="1"/>
  <c r="BG102" i="1"/>
  <c r="AX94" i="1"/>
  <c r="AW94" i="1"/>
  <c r="AU94" i="1"/>
  <c r="BG94" i="1"/>
  <c r="AX86" i="1"/>
  <c r="AW86" i="1"/>
  <c r="AU86" i="1"/>
  <c r="BG86" i="1"/>
  <c r="AW77" i="1"/>
  <c r="AX77" i="1"/>
  <c r="AU77" i="1"/>
  <c r="BG77" i="1"/>
  <c r="AX68" i="1"/>
  <c r="AW68" i="1"/>
  <c r="AU68" i="1"/>
  <c r="BG68" i="1"/>
  <c r="AX60" i="1"/>
  <c r="AW60" i="1"/>
  <c r="AU60" i="1"/>
  <c r="BG60" i="1"/>
  <c r="AX52" i="1"/>
  <c r="AW52" i="1"/>
  <c r="AU52" i="1"/>
  <c r="BG52" i="1"/>
  <c r="AX44" i="1"/>
  <c r="AW44" i="1"/>
  <c r="AU44" i="1"/>
  <c r="BG44" i="1"/>
  <c r="AX36" i="1"/>
  <c r="AW36" i="1"/>
  <c r="AU36" i="1"/>
  <c r="BG36" i="1"/>
  <c r="AX28" i="1"/>
  <c r="AW28" i="1"/>
  <c r="AU28" i="1"/>
  <c r="BG28" i="1"/>
  <c r="AX20" i="1"/>
  <c r="AW20" i="1"/>
  <c r="AU20" i="1"/>
  <c r="BG20" i="1"/>
  <c r="AX12" i="1"/>
  <c r="AW12" i="1"/>
  <c r="AU12" i="1"/>
  <c r="BG12" i="1"/>
  <c r="AX382" i="1"/>
  <c r="AW382" i="1"/>
  <c r="AU382" i="1"/>
  <c r="BG382" i="1"/>
  <c r="AX358" i="1"/>
  <c r="AW358" i="1"/>
  <c r="AU358" i="1"/>
  <c r="BG358" i="1"/>
  <c r="AX342" i="1"/>
  <c r="AW342" i="1"/>
  <c r="AU342" i="1"/>
  <c r="BG342" i="1"/>
  <c r="AX318" i="1"/>
  <c r="AU318" i="1"/>
  <c r="AW318" i="1"/>
  <c r="BG318" i="1"/>
  <c r="AX294" i="1"/>
  <c r="AW294" i="1"/>
  <c r="AU294" i="1"/>
  <c r="BG294" i="1"/>
  <c r="AX269" i="1"/>
  <c r="AW269" i="1"/>
  <c r="AU269" i="1"/>
  <c r="BG269" i="1"/>
  <c r="AW253" i="1"/>
  <c r="AX253" i="1"/>
  <c r="AU253" i="1"/>
  <c r="BG253" i="1"/>
  <c r="AX229" i="1"/>
  <c r="AW229" i="1"/>
  <c r="AU229" i="1"/>
  <c r="BG229" i="1"/>
  <c r="AX205" i="1"/>
  <c r="AW205" i="1"/>
  <c r="AU205" i="1"/>
  <c r="BG205" i="1"/>
  <c r="AX396" i="1"/>
  <c r="AW396" i="1"/>
  <c r="AU396" i="1"/>
  <c r="BG396" i="1"/>
  <c r="AX380" i="1"/>
  <c r="AW380" i="1"/>
  <c r="AU380" i="1"/>
  <c r="BG380" i="1"/>
  <c r="AX364" i="1"/>
  <c r="AW364" i="1"/>
  <c r="AU364" i="1"/>
  <c r="BG364" i="1"/>
  <c r="AX340" i="1"/>
  <c r="AU340" i="1"/>
  <c r="AW340" i="1"/>
  <c r="BG340" i="1"/>
  <c r="AX324" i="1"/>
  <c r="AW324" i="1"/>
  <c r="AU324" i="1"/>
  <c r="BG324" i="1"/>
  <c r="AX308" i="1"/>
  <c r="AU308" i="1"/>
  <c r="AW308" i="1"/>
  <c r="BG308" i="1"/>
  <c r="AX284" i="1"/>
  <c r="AW284" i="1"/>
  <c r="AU284" i="1"/>
  <c r="BG284" i="1"/>
  <c r="AW267" i="1"/>
  <c r="AX267" i="1"/>
  <c r="AU267" i="1"/>
  <c r="BG267" i="1"/>
  <c r="AX251" i="1"/>
  <c r="AW251" i="1"/>
  <c r="AU251" i="1"/>
  <c r="BG251" i="1"/>
  <c r="AW235" i="1"/>
  <c r="AX235" i="1"/>
  <c r="AU235" i="1"/>
  <c r="BG235" i="1"/>
  <c r="AX219" i="1"/>
  <c r="AW219" i="1"/>
  <c r="AU219" i="1"/>
  <c r="BG219" i="1"/>
  <c r="AW203" i="1"/>
  <c r="AX203" i="1"/>
  <c r="AU203" i="1"/>
  <c r="BG203" i="1"/>
  <c r="AX187" i="1"/>
  <c r="AW187" i="1"/>
  <c r="AU187" i="1"/>
  <c r="BG187" i="1"/>
  <c r="AW171" i="1"/>
  <c r="AX171" i="1"/>
  <c r="AU171" i="1"/>
  <c r="BG171" i="1"/>
  <c r="AX155" i="1"/>
  <c r="AW155" i="1"/>
  <c r="AU155" i="1"/>
  <c r="BG155" i="1"/>
  <c r="AX139" i="1"/>
  <c r="AW139" i="1"/>
  <c r="AU139" i="1"/>
  <c r="BG139" i="1"/>
  <c r="AX387" i="1"/>
  <c r="AW387" i="1"/>
  <c r="AU387" i="1"/>
  <c r="BG387" i="1"/>
  <c r="AX371" i="1"/>
  <c r="AW371" i="1"/>
  <c r="AU371" i="1"/>
  <c r="BG371" i="1"/>
  <c r="AX355" i="1"/>
  <c r="AW355" i="1"/>
  <c r="AU355" i="1"/>
  <c r="BG355" i="1"/>
  <c r="AX339" i="1"/>
  <c r="AW339" i="1"/>
  <c r="AU339" i="1"/>
  <c r="BG339" i="1"/>
  <c r="AX323" i="1"/>
  <c r="AW323" i="1"/>
  <c r="AU323" i="1"/>
  <c r="BG323" i="1"/>
  <c r="AX307" i="1"/>
  <c r="AW307" i="1"/>
  <c r="AU307" i="1"/>
  <c r="BG307" i="1"/>
  <c r="AX291" i="1"/>
  <c r="AW291" i="1"/>
  <c r="AU291" i="1"/>
  <c r="BG291" i="1"/>
  <c r="AX274" i="1"/>
  <c r="AW274" i="1"/>
  <c r="AU274" i="1"/>
  <c r="BG274" i="1"/>
  <c r="AX258" i="1"/>
  <c r="AW258" i="1"/>
  <c r="AU258" i="1"/>
  <c r="BG258" i="1"/>
  <c r="AX242" i="1"/>
  <c r="AW242" i="1"/>
  <c r="AU242" i="1"/>
  <c r="BG242" i="1"/>
  <c r="AX226" i="1"/>
  <c r="AW226" i="1"/>
  <c r="AU226" i="1"/>
  <c r="BG226" i="1"/>
  <c r="AX210" i="1"/>
  <c r="AW210" i="1"/>
  <c r="AU210" i="1"/>
  <c r="BG210" i="1"/>
  <c r="AX186" i="1"/>
  <c r="AW186" i="1"/>
  <c r="AU186" i="1"/>
  <c r="BG186" i="1"/>
  <c r="AX392" i="1"/>
  <c r="AW392" i="1"/>
  <c r="AU392" i="1"/>
  <c r="BG392" i="1"/>
  <c r="AX384" i="1"/>
  <c r="AW384" i="1"/>
  <c r="AU384" i="1"/>
  <c r="BG384" i="1"/>
  <c r="AX376" i="1"/>
  <c r="AW376" i="1"/>
  <c r="AU376" i="1"/>
  <c r="BG376" i="1"/>
  <c r="AX368" i="1"/>
  <c r="AW368" i="1"/>
  <c r="AU368" i="1"/>
  <c r="BG368" i="1"/>
  <c r="AX360" i="1"/>
  <c r="AW360" i="1"/>
  <c r="AU360" i="1"/>
  <c r="BG360" i="1"/>
  <c r="AX352" i="1"/>
  <c r="AW352" i="1"/>
  <c r="AU352" i="1"/>
  <c r="BG352" i="1"/>
  <c r="AX344" i="1"/>
  <c r="AW344" i="1"/>
  <c r="AU344" i="1"/>
  <c r="BG344" i="1"/>
  <c r="AX336" i="1"/>
  <c r="AW336" i="1"/>
  <c r="AU336" i="1"/>
  <c r="BG336" i="1"/>
  <c r="AX328" i="1"/>
  <c r="AW328" i="1"/>
  <c r="AU328" i="1"/>
  <c r="BG328" i="1"/>
  <c r="AX320" i="1"/>
  <c r="AW320" i="1"/>
  <c r="AU320" i="1"/>
  <c r="BG320" i="1"/>
  <c r="AX312" i="1"/>
  <c r="AW312" i="1"/>
  <c r="AU312" i="1"/>
  <c r="BG312" i="1"/>
  <c r="AX304" i="1"/>
  <c r="AW304" i="1"/>
  <c r="AU304" i="1"/>
  <c r="BG304" i="1"/>
  <c r="AX296" i="1"/>
  <c r="AW296" i="1"/>
  <c r="AU296" i="1"/>
  <c r="BG296" i="1"/>
  <c r="AX288" i="1"/>
  <c r="AW288" i="1"/>
  <c r="AU288" i="1"/>
  <c r="BG288" i="1"/>
  <c r="AX279" i="1"/>
  <c r="AW279" i="1"/>
  <c r="AU279" i="1"/>
  <c r="BG279" i="1"/>
  <c r="AX271" i="1"/>
  <c r="AW271" i="1"/>
  <c r="AU271" i="1"/>
  <c r="BG271" i="1"/>
  <c r="AX263" i="1"/>
  <c r="AW263" i="1"/>
  <c r="AU263" i="1"/>
  <c r="BG263" i="1"/>
  <c r="AX255" i="1"/>
  <c r="AW255" i="1"/>
  <c r="AU255" i="1"/>
  <c r="BG255" i="1"/>
  <c r="AX247" i="1"/>
  <c r="AW247" i="1"/>
  <c r="AU247" i="1"/>
  <c r="BG247" i="1"/>
  <c r="AX239" i="1"/>
  <c r="AW239" i="1"/>
  <c r="AU239" i="1"/>
  <c r="BG239" i="1"/>
  <c r="AX231" i="1"/>
  <c r="AW231" i="1"/>
  <c r="AU231" i="1"/>
  <c r="BG231" i="1"/>
  <c r="AX223" i="1"/>
  <c r="AW223" i="1"/>
  <c r="AU223" i="1"/>
  <c r="BG223" i="1"/>
  <c r="AX215" i="1"/>
  <c r="AW215" i="1"/>
  <c r="AU215" i="1"/>
  <c r="BG215" i="1"/>
  <c r="AX207" i="1"/>
  <c r="AW207" i="1"/>
  <c r="AU207" i="1"/>
  <c r="BG207" i="1"/>
  <c r="AX199" i="1"/>
  <c r="AW199" i="1"/>
  <c r="AU199" i="1"/>
  <c r="BG199" i="1"/>
  <c r="AX191" i="1"/>
  <c r="AW191" i="1"/>
  <c r="AU191" i="1"/>
  <c r="BG191" i="1"/>
  <c r="AX183" i="1"/>
  <c r="AW183" i="1"/>
  <c r="AU183" i="1"/>
  <c r="BG183" i="1"/>
  <c r="AX175" i="1"/>
  <c r="AW175" i="1"/>
  <c r="AU175" i="1"/>
  <c r="BG175" i="1"/>
  <c r="AX167" i="1"/>
  <c r="AW167" i="1"/>
  <c r="AU167" i="1"/>
  <c r="BG167" i="1"/>
  <c r="AX159" i="1"/>
  <c r="AW159" i="1"/>
  <c r="AU159" i="1"/>
  <c r="BG159" i="1"/>
  <c r="AX151" i="1"/>
  <c r="AW151" i="1"/>
  <c r="AU151" i="1"/>
  <c r="BG151" i="1"/>
  <c r="AX143" i="1"/>
  <c r="AW143" i="1"/>
  <c r="AU143" i="1"/>
  <c r="BG143" i="1"/>
  <c r="AX6" i="1"/>
  <c r="AW6" i="1"/>
  <c r="AU6" i="1"/>
  <c r="AT6" i="1"/>
  <c r="BG6" i="1"/>
  <c r="AX391" i="1"/>
  <c r="AW391" i="1"/>
  <c r="AU391" i="1"/>
  <c r="BG391" i="1"/>
  <c r="AX383" i="1"/>
  <c r="AW383" i="1"/>
  <c r="AU383" i="1"/>
  <c r="BG383" i="1"/>
  <c r="AX375" i="1"/>
  <c r="AW375" i="1"/>
  <c r="AU375" i="1"/>
  <c r="BG375" i="1"/>
  <c r="AX367" i="1"/>
  <c r="AW367" i="1"/>
  <c r="AU367" i="1"/>
  <c r="BG367" i="1"/>
  <c r="AX359" i="1"/>
  <c r="AW359" i="1"/>
  <c r="AU359" i="1"/>
  <c r="BG359" i="1"/>
  <c r="AX351" i="1"/>
  <c r="AW351" i="1"/>
  <c r="AU351" i="1"/>
  <c r="BG351" i="1"/>
  <c r="AX343" i="1"/>
  <c r="AW343" i="1"/>
  <c r="AU343" i="1"/>
  <c r="BG343" i="1"/>
  <c r="AX335" i="1"/>
  <c r="AW335" i="1"/>
  <c r="AU335" i="1"/>
  <c r="BG335" i="1"/>
  <c r="AX327" i="1"/>
  <c r="AW327" i="1"/>
  <c r="AU327" i="1"/>
  <c r="BG327" i="1"/>
  <c r="AX319" i="1"/>
  <c r="AW319" i="1"/>
  <c r="AU319" i="1"/>
  <c r="BG319" i="1"/>
  <c r="AX311" i="1"/>
  <c r="AW311" i="1"/>
  <c r="AU311" i="1"/>
  <c r="BG311" i="1"/>
  <c r="AX303" i="1"/>
  <c r="AW303" i="1"/>
  <c r="AU303" i="1"/>
  <c r="BG303" i="1"/>
  <c r="AX295" i="1"/>
  <c r="AW295" i="1"/>
  <c r="AU295" i="1"/>
  <c r="BG295" i="1"/>
  <c r="AX287" i="1"/>
  <c r="AW287" i="1"/>
  <c r="AU287" i="1"/>
  <c r="BG287" i="1"/>
  <c r="AX278" i="1"/>
  <c r="AW278" i="1"/>
  <c r="AU278" i="1"/>
  <c r="BG278" i="1"/>
  <c r="AX270" i="1"/>
  <c r="AW270" i="1"/>
  <c r="AU270" i="1"/>
  <c r="BG270" i="1"/>
  <c r="AX262" i="1"/>
  <c r="AW262" i="1"/>
  <c r="AU262" i="1"/>
  <c r="BG262" i="1"/>
  <c r="AX254" i="1"/>
  <c r="AW254" i="1"/>
  <c r="AU254" i="1"/>
  <c r="BG254" i="1"/>
  <c r="AX246" i="1"/>
  <c r="AW246" i="1"/>
  <c r="AU246" i="1"/>
  <c r="BG246" i="1"/>
  <c r="AX238" i="1"/>
  <c r="AU238" i="1"/>
  <c r="AW238" i="1"/>
  <c r="BG238" i="1"/>
  <c r="AX230" i="1"/>
  <c r="AW230" i="1"/>
  <c r="AU230" i="1"/>
  <c r="BG230" i="1"/>
  <c r="AX222" i="1"/>
  <c r="AW222" i="1"/>
  <c r="AU222" i="1"/>
  <c r="BG222" i="1"/>
  <c r="AX214" i="1"/>
  <c r="AW214" i="1"/>
  <c r="AU214" i="1"/>
  <c r="BG214" i="1"/>
  <c r="AX206" i="1"/>
  <c r="AW206" i="1"/>
  <c r="AU206" i="1"/>
  <c r="BG206" i="1"/>
  <c r="AX198" i="1"/>
  <c r="AW198" i="1"/>
  <c r="AU198" i="1"/>
  <c r="BG198" i="1"/>
  <c r="AX190" i="1"/>
  <c r="AW190" i="1"/>
  <c r="AU190" i="1"/>
  <c r="BG190" i="1"/>
  <c r="AX182" i="1"/>
  <c r="AW182" i="1"/>
  <c r="AU182" i="1"/>
  <c r="BG182" i="1"/>
  <c r="AX174" i="1"/>
  <c r="AW174" i="1"/>
  <c r="AU174" i="1"/>
  <c r="BG174" i="1"/>
  <c r="AX166" i="1"/>
  <c r="AW166" i="1"/>
  <c r="AU166" i="1"/>
  <c r="BG166" i="1"/>
  <c r="AX158" i="1"/>
  <c r="AW158" i="1"/>
  <c r="AU158" i="1"/>
  <c r="BG158" i="1"/>
  <c r="AW150" i="1"/>
  <c r="AX150" i="1"/>
  <c r="AU150" i="1"/>
  <c r="BG150" i="1"/>
  <c r="AX142" i="1"/>
  <c r="AU142" i="1"/>
  <c r="AW142" i="1"/>
  <c r="BG142" i="1"/>
  <c r="AX134" i="1"/>
  <c r="AW134" i="1"/>
  <c r="AU134" i="1"/>
  <c r="BG134" i="1"/>
  <c r="AX126" i="1"/>
  <c r="AW126" i="1"/>
  <c r="AU126" i="1"/>
  <c r="BG126" i="1"/>
  <c r="AX118" i="1"/>
  <c r="AW118" i="1"/>
  <c r="AU118" i="1"/>
  <c r="BG118" i="1"/>
  <c r="AX110" i="1"/>
  <c r="AU110" i="1"/>
  <c r="AW110" i="1"/>
  <c r="BG110" i="1"/>
  <c r="AX101" i="1"/>
  <c r="AW101" i="1"/>
  <c r="AU101" i="1"/>
  <c r="BG101" i="1"/>
  <c r="AX93" i="1"/>
  <c r="AW93" i="1"/>
  <c r="AU93" i="1"/>
  <c r="BG93" i="1"/>
  <c r="AW85" i="1"/>
  <c r="AX85" i="1"/>
  <c r="AU85" i="1"/>
  <c r="BG85" i="1"/>
  <c r="AX75" i="1"/>
  <c r="AW75" i="1"/>
  <c r="AU75" i="1"/>
  <c r="BG75" i="1"/>
  <c r="AX67" i="1"/>
  <c r="AU67" i="1"/>
  <c r="AW67" i="1"/>
  <c r="BG67" i="1"/>
  <c r="AX59" i="1"/>
  <c r="AW59" i="1"/>
  <c r="AU59" i="1"/>
  <c r="BG59" i="1"/>
  <c r="AX51" i="1"/>
  <c r="AW51" i="1"/>
  <c r="AU51" i="1"/>
  <c r="BG51" i="1"/>
  <c r="AX43" i="1"/>
  <c r="AW43" i="1"/>
  <c r="AU43" i="1"/>
  <c r="BG43" i="1"/>
  <c r="AX35" i="1"/>
  <c r="AU35" i="1"/>
  <c r="AW35" i="1"/>
  <c r="BG35" i="1"/>
  <c r="AX27" i="1"/>
  <c r="AW27" i="1"/>
  <c r="AU27" i="1"/>
  <c r="BG27" i="1"/>
  <c r="AX19" i="1"/>
  <c r="AW19" i="1"/>
  <c r="AU19" i="1"/>
  <c r="BG19" i="1"/>
  <c r="AX11" i="1"/>
  <c r="AU11" i="1"/>
  <c r="AW11" i="1"/>
  <c r="BG11" i="1"/>
  <c r="AX398" i="1"/>
  <c r="AW398" i="1"/>
  <c r="AU398" i="1"/>
  <c r="BG398" i="1"/>
  <c r="AX374" i="1"/>
  <c r="AW374" i="1"/>
  <c r="AU374" i="1"/>
  <c r="BG374" i="1"/>
  <c r="AX350" i="1"/>
  <c r="AW350" i="1"/>
  <c r="AU350" i="1"/>
  <c r="BG350" i="1"/>
  <c r="AX334" i="1"/>
  <c r="AW334" i="1"/>
  <c r="AU334" i="1"/>
  <c r="BG334" i="1"/>
  <c r="AX310" i="1"/>
  <c r="AW310" i="1"/>
  <c r="AU310" i="1"/>
  <c r="BG310" i="1"/>
  <c r="AX286" i="1"/>
  <c r="AW286" i="1"/>
  <c r="AU286" i="1"/>
  <c r="BG286" i="1"/>
  <c r="AX245" i="1"/>
  <c r="AW245" i="1"/>
  <c r="AU245" i="1"/>
  <c r="BG245" i="1"/>
  <c r="AW213" i="1"/>
  <c r="AX213" i="1"/>
  <c r="AU213" i="1"/>
  <c r="BG213" i="1"/>
  <c r="AX133" i="1"/>
  <c r="AW133" i="1"/>
  <c r="AU133" i="1"/>
  <c r="BG133" i="1"/>
  <c r="AW125" i="1"/>
  <c r="AX125" i="1"/>
  <c r="AU125" i="1"/>
  <c r="BG125" i="1"/>
  <c r="AW117" i="1"/>
  <c r="AX117" i="1"/>
  <c r="AU117" i="1"/>
  <c r="BG117" i="1"/>
  <c r="AW109" i="1"/>
  <c r="AX109" i="1"/>
  <c r="AU109" i="1"/>
  <c r="BG109" i="1"/>
  <c r="AX100" i="1"/>
  <c r="AW100" i="1"/>
  <c r="AU100" i="1"/>
  <c r="BG100" i="1"/>
  <c r="AX92" i="1"/>
  <c r="AW92" i="1"/>
  <c r="AU92" i="1"/>
  <c r="BG92" i="1"/>
  <c r="AX84" i="1"/>
  <c r="AW84" i="1"/>
  <c r="AU84" i="1"/>
  <c r="BG84" i="1"/>
  <c r="AX74" i="1"/>
  <c r="AW74" i="1"/>
  <c r="AU74" i="1"/>
  <c r="BG74" i="1"/>
  <c r="AX66" i="1"/>
  <c r="AW66" i="1"/>
  <c r="AU66" i="1"/>
  <c r="BG66" i="1"/>
  <c r="AX58" i="1"/>
  <c r="AW58" i="1"/>
  <c r="AU58" i="1"/>
  <c r="BG58" i="1"/>
  <c r="AX50" i="1"/>
  <c r="AW50" i="1"/>
  <c r="AU50" i="1"/>
  <c r="BG50" i="1"/>
  <c r="AX42" i="1"/>
  <c r="AW42" i="1"/>
  <c r="AU42" i="1"/>
  <c r="BG42" i="1"/>
  <c r="AX34" i="1"/>
  <c r="AW34" i="1"/>
  <c r="AU34" i="1"/>
  <c r="BG34" i="1"/>
  <c r="AX26" i="1"/>
  <c r="AW26" i="1"/>
  <c r="AU26" i="1"/>
  <c r="BG26" i="1"/>
  <c r="AX18" i="1"/>
  <c r="AW18" i="1"/>
  <c r="AU18" i="1"/>
  <c r="BG18" i="1"/>
  <c r="AX10" i="1"/>
  <c r="AW10" i="1"/>
  <c r="AU10" i="1"/>
  <c r="BG10" i="1"/>
  <c r="AD24" i="1" l="1"/>
  <c r="AF24" i="1" s="1"/>
  <c r="AD76" i="1"/>
  <c r="AF76" i="1" s="1"/>
  <c r="AD79" i="1"/>
  <c r="AF79" i="1" s="1"/>
  <c r="AC24" i="1"/>
  <c r="AE24" i="1" s="1"/>
  <c r="AC79" i="1"/>
  <c r="AE79" i="1" s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AG24" i="1" l="1"/>
  <c r="AB24" i="1" s="1"/>
  <c r="J131" i="1"/>
  <c r="I131" i="1"/>
  <c r="J122" i="1"/>
  <c r="I122" i="1"/>
  <c r="J114" i="1"/>
  <c r="I114" i="1"/>
  <c r="J105" i="1"/>
  <c r="I105" i="1"/>
  <c r="J97" i="1"/>
  <c r="I97" i="1"/>
  <c r="J89" i="1"/>
  <c r="I89" i="1"/>
  <c r="J81" i="1"/>
  <c r="I81" i="1"/>
  <c r="J71" i="1"/>
  <c r="I71" i="1"/>
  <c r="J63" i="1"/>
  <c r="I63" i="1"/>
  <c r="J55" i="1"/>
  <c r="I55" i="1"/>
  <c r="J47" i="1"/>
  <c r="I47" i="1"/>
  <c r="J39" i="1"/>
  <c r="I39" i="1"/>
  <c r="J31" i="1"/>
  <c r="I31" i="1"/>
  <c r="J22" i="1"/>
  <c r="I22" i="1"/>
  <c r="J14" i="1"/>
  <c r="I14" i="1"/>
  <c r="J113" i="1"/>
  <c r="I113" i="1"/>
  <c r="J388" i="1"/>
  <c r="I388" i="1"/>
  <c r="J364" i="1"/>
  <c r="I364" i="1"/>
  <c r="J348" i="1"/>
  <c r="I348" i="1"/>
  <c r="I332" i="1"/>
  <c r="J332" i="1"/>
  <c r="I316" i="1"/>
  <c r="J316" i="1"/>
  <c r="I308" i="1"/>
  <c r="J308" i="1"/>
  <c r="J300" i="1"/>
  <c r="I300" i="1"/>
  <c r="J292" i="1"/>
  <c r="I292" i="1"/>
  <c r="J284" i="1"/>
  <c r="I284" i="1"/>
  <c r="J275" i="1"/>
  <c r="I275" i="1"/>
  <c r="J267" i="1"/>
  <c r="I267" i="1"/>
  <c r="J259" i="1"/>
  <c r="I259" i="1"/>
  <c r="J251" i="1"/>
  <c r="I251" i="1"/>
  <c r="J243" i="1"/>
  <c r="I243" i="1"/>
  <c r="J235" i="1"/>
  <c r="I235" i="1"/>
  <c r="J227" i="1"/>
  <c r="I227" i="1"/>
  <c r="J219" i="1"/>
  <c r="I219" i="1"/>
  <c r="J211" i="1"/>
  <c r="I211" i="1"/>
  <c r="J203" i="1"/>
  <c r="I203" i="1"/>
  <c r="J195" i="1"/>
  <c r="I195" i="1"/>
  <c r="J187" i="1"/>
  <c r="I187" i="1"/>
  <c r="J179" i="1"/>
  <c r="I179" i="1"/>
  <c r="J139" i="1"/>
  <c r="I139" i="1"/>
  <c r="J379" i="1"/>
  <c r="I379" i="1"/>
  <c r="J371" i="1"/>
  <c r="I371" i="1"/>
  <c r="J363" i="1"/>
  <c r="I363" i="1"/>
  <c r="J355" i="1"/>
  <c r="I355" i="1"/>
  <c r="J347" i="1"/>
  <c r="I347" i="1"/>
  <c r="J339" i="1"/>
  <c r="I339" i="1"/>
  <c r="J331" i="1"/>
  <c r="I331" i="1"/>
  <c r="J323" i="1"/>
  <c r="I323" i="1"/>
  <c r="J315" i="1"/>
  <c r="I315" i="1"/>
  <c r="J307" i="1"/>
  <c r="I307" i="1"/>
  <c r="J299" i="1"/>
  <c r="I299" i="1"/>
  <c r="J291" i="1"/>
  <c r="I291" i="1"/>
  <c r="J283" i="1"/>
  <c r="I283" i="1"/>
  <c r="J274" i="1"/>
  <c r="I274" i="1"/>
  <c r="J266" i="1"/>
  <c r="I266" i="1"/>
  <c r="J258" i="1"/>
  <c r="I258" i="1"/>
  <c r="J250" i="1"/>
  <c r="I250" i="1"/>
  <c r="J242" i="1"/>
  <c r="I242" i="1"/>
  <c r="J234" i="1"/>
  <c r="I234" i="1"/>
  <c r="J226" i="1"/>
  <c r="I226" i="1"/>
  <c r="J218" i="1"/>
  <c r="I218" i="1"/>
  <c r="J210" i="1"/>
  <c r="I210" i="1"/>
  <c r="J202" i="1"/>
  <c r="I202" i="1"/>
  <c r="J194" i="1"/>
  <c r="I194" i="1"/>
  <c r="J186" i="1"/>
  <c r="I186" i="1"/>
  <c r="J178" i="1"/>
  <c r="I178" i="1"/>
  <c r="J170" i="1"/>
  <c r="I170" i="1"/>
  <c r="J162" i="1"/>
  <c r="I162" i="1"/>
  <c r="J154" i="1"/>
  <c r="I154" i="1"/>
  <c r="J146" i="1"/>
  <c r="I146" i="1"/>
  <c r="J138" i="1"/>
  <c r="I138" i="1"/>
  <c r="J130" i="1"/>
  <c r="I130" i="1"/>
  <c r="J121" i="1"/>
  <c r="I121" i="1"/>
  <c r="I112" i="1"/>
  <c r="J112" i="1"/>
  <c r="I104" i="1"/>
  <c r="J104" i="1"/>
  <c r="I96" i="1"/>
  <c r="J96" i="1"/>
  <c r="I88" i="1"/>
  <c r="J88" i="1"/>
  <c r="I80" i="1"/>
  <c r="J80" i="1"/>
  <c r="J70" i="1"/>
  <c r="I70" i="1"/>
  <c r="J62" i="1"/>
  <c r="I62" i="1"/>
  <c r="J54" i="1"/>
  <c r="I54" i="1"/>
  <c r="I46" i="1"/>
  <c r="J46" i="1"/>
  <c r="J38" i="1"/>
  <c r="I38" i="1"/>
  <c r="J30" i="1"/>
  <c r="I30" i="1"/>
  <c r="J21" i="1"/>
  <c r="I21" i="1"/>
  <c r="J13" i="1"/>
  <c r="I13" i="1"/>
  <c r="J137" i="1"/>
  <c r="I137" i="1"/>
  <c r="J129" i="1"/>
  <c r="I129" i="1"/>
  <c r="I120" i="1"/>
  <c r="J120" i="1"/>
  <c r="J111" i="1"/>
  <c r="I111" i="1"/>
  <c r="J103" i="1"/>
  <c r="I103" i="1"/>
  <c r="J95" i="1"/>
  <c r="I95" i="1"/>
  <c r="J87" i="1"/>
  <c r="I87" i="1"/>
  <c r="J78" i="1"/>
  <c r="I78" i="1"/>
  <c r="J69" i="1"/>
  <c r="I69" i="1"/>
  <c r="J61" i="1"/>
  <c r="I61" i="1"/>
  <c r="J53" i="1"/>
  <c r="I53" i="1"/>
  <c r="J45" i="1"/>
  <c r="I45" i="1"/>
  <c r="J37" i="1"/>
  <c r="I37" i="1"/>
  <c r="J29" i="1"/>
  <c r="I29" i="1"/>
  <c r="J20" i="1"/>
  <c r="I20" i="1"/>
  <c r="J12" i="1"/>
  <c r="I12" i="1"/>
  <c r="J171" i="1"/>
  <c r="I171" i="1"/>
  <c r="J370" i="1"/>
  <c r="I370" i="1"/>
  <c r="J338" i="1"/>
  <c r="I338" i="1"/>
  <c r="J306" i="1"/>
  <c r="I306" i="1"/>
  <c r="J273" i="1"/>
  <c r="I273" i="1"/>
  <c r="J257" i="1"/>
  <c r="I257" i="1"/>
  <c r="J241" i="1"/>
  <c r="I241" i="1"/>
  <c r="J225" i="1"/>
  <c r="I225" i="1"/>
  <c r="J217" i="1"/>
  <c r="I217" i="1"/>
  <c r="J201" i="1"/>
  <c r="I201" i="1"/>
  <c r="J185" i="1"/>
  <c r="I185" i="1"/>
  <c r="J145" i="1"/>
  <c r="I145" i="1"/>
  <c r="J393" i="1"/>
  <c r="I393" i="1"/>
  <c r="J385" i="1"/>
  <c r="I385" i="1"/>
  <c r="J377" i="1"/>
  <c r="I377" i="1"/>
  <c r="J369" i="1"/>
  <c r="I369" i="1"/>
  <c r="J361" i="1"/>
  <c r="I361" i="1"/>
  <c r="J353" i="1"/>
  <c r="I353" i="1"/>
  <c r="J345" i="1"/>
  <c r="I345" i="1"/>
  <c r="J337" i="1"/>
  <c r="I337" i="1"/>
  <c r="J329" i="1"/>
  <c r="I329" i="1"/>
  <c r="J321" i="1"/>
  <c r="I321" i="1"/>
  <c r="J313" i="1"/>
  <c r="I313" i="1"/>
  <c r="J305" i="1"/>
  <c r="I305" i="1"/>
  <c r="J297" i="1"/>
  <c r="I297" i="1"/>
  <c r="J289" i="1"/>
  <c r="I289" i="1"/>
  <c r="I280" i="1"/>
  <c r="J280" i="1"/>
  <c r="I272" i="1"/>
  <c r="J272" i="1"/>
  <c r="J264" i="1"/>
  <c r="I264" i="1"/>
  <c r="J256" i="1"/>
  <c r="I256" i="1"/>
  <c r="I248" i="1"/>
  <c r="J248" i="1"/>
  <c r="J240" i="1"/>
  <c r="I240" i="1"/>
  <c r="J232" i="1"/>
  <c r="I232" i="1"/>
  <c r="I224" i="1"/>
  <c r="J224" i="1"/>
  <c r="J216" i="1"/>
  <c r="I216" i="1"/>
  <c r="I208" i="1"/>
  <c r="J208" i="1"/>
  <c r="J200" i="1"/>
  <c r="I200" i="1"/>
  <c r="J192" i="1"/>
  <c r="I192" i="1"/>
  <c r="I184" i="1"/>
  <c r="J184" i="1"/>
  <c r="J176" i="1"/>
  <c r="I176" i="1"/>
  <c r="J168" i="1"/>
  <c r="I168" i="1"/>
  <c r="I160" i="1"/>
  <c r="J160" i="1"/>
  <c r="I152" i="1"/>
  <c r="J152" i="1"/>
  <c r="J136" i="1"/>
  <c r="I136" i="1"/>
  <c r="J127" i="1"/>
  <c r="I127" i="1"/>
  <c r="J119" i="1"/>
  <c r="I119" i="1"/>
  <c r="J110" i="1"/>
  <c r="I110" i="1"/>
  <c r="I102" i="1"/>
  <c r="J102" i="1"/>
  <c r="I94" i="1"/>
  <c r="J94" i="1"/>
  <c r="I86" i="1"/>
  <c r="J86" i="1"/>
  <c r="J77" i="1"/>
  <c r="I77" i="1"/>
  <c r="J68" i="1"/>
  <c r="I68" i="1"/>
  <c r="J60" i="1"/>
  <c r="I60" i="1"/>
  <c r="J52" i="1"/>
  <c r="I52" i="1"/>
  <c r="J44" i="1"/>
  <c r="I44" i="1"/>
  <c r="J36" i="1"/>
  <c r="I36" i="1"/>
  <c r="J28" i="1"/>
  <c r="I28" i="1"/>
  <c r="J19" i="1"/>
  <c r="I19" i="1"/>
  <c r="J11" i="1"/>
  <c r="I11" i="1"/>
  <c r="J163" i="1"/>
  <c r="I163" i="1"/>
  <c r="J378" i="1"/>
  <c r="I378" i="1"/>
  <c r="J346" i="1"/>
  <c r="I346" i="1"/>
  <c r="J314" i="1"/>
  <c r="I314" i="1"/>
  <c r="J298" i="1"/>
  <c r="I298" i="1"/>
  <c r="J290" i="1"/>
  <c r="I290" i="1"/>
  <c r="J281" i="1"/>
  <c r="I281" i="1"/>
  <c r="J265" i="1"/>
  <c r="I265" i="1"/>
  <c r="J249" i="1"/>
  <c r="I249" i="1"/>
  <c r="J233" i="1"/>
  <c r="I233" i="1"/>
  <c r="J209" i="1"/>
  <c r="I209" i="1"/>
  <c r="J193" i="1"/>
  <c r="I193" i="1"/>
  <c r="J177" i="1"/>
  <c r="I177" i="1"/>
  <c r="J153" i="1"/>
  <c r="I153" i="1"/>
  <c r="I144" i="1"/>
  <c r="J144" i="1"/>
  <c r="J392" i="1"/>
  <c r="I392" i="1"/>
  <c r="J384" i="1"/>
  <c r="I384" i="1"/>
  <c r="J376" i="1"/>
  <c r="I376" i="1"/>
  <c r="J368" i="1"/>
  <c r="I368" i="1"/>
  <c r="J360" i="1"/>
  <c r="I360" i="1"/>
  <c r="J352" i="1"/>
  <c r="I352" i="1"/>
  <c r="J344" i="1"/>
  <c r="I344" i="1"/>
  <c r="J336" i="1"/>
  <c r="I336" i="1"/>
  <c r="J328" i="1"/>
  <c r="I328" i="1"/>
  <c r="J320" i="1"/>
  <c r="I320" i="1"/>
  <c r="J312" i="1"/>
  <c r="I312" i="1"/>
  <c r="J304" i="1"/>
  <c r="I304" i="1"/>
  <c r="J296" i="1"/>
  <c r="I296" i="1"/>
  <c r="I288" i="1"/>
  <c r="J288" i="1"/>
  <c r="J279" i="1"/>
  <c r="I279" i="1"/>
  <c r="J271" i="1"/>
  <c r="I271" i="1"/>
  <c r="J263" i="1"/>
  <c r="I263" i="1"/>
  <c r="J255" i="1"/>
  <c r="I255" i="1"/>
  <c r="J247" i="1"/>
  <c r="I247" i="1"/>
  <c r="J239" i="1"/>
  <c r="I239" i="1"/>
  <c r="J231" i="1"/>
  <c r="I231" i="1"/>
  <c r="J223" i="1"/>
  <c r="I223" i="1"/>
  <c r="J215" i="1"/>
  <c r="I215" i="1"/>
  <c r="J207" i="1"/>
  <c r="I207" i="1"/>
  <c r="J199" i="1"/>
  <c r="I199" i="1"/>
  <c r="J191" i="1"/>
  <c r="I191" i="1"/>
  <c r="J183" i="1"/>
  <c r="I183" i="1"/>
  <c r="J175" i="1"/>
  <c r="I175" i="1"/>
  <c r="J167" i="1"/>
  <c r="I167" i="1"/>
  <c r="J159" i="1"/>
  <c r="I159" i="1"/>
  <c r="J151" i="1"/>
  <c r="I151" i="1"/>
  <c r="J143" i="1"/>
  <c r="I143" i="1"/>
  <c r="J135" i="1"/>
  <c r="I135" i="1"/>
  <c r="I126" i="1"/>
  <c r="J126" i="1"/>
  <c r="I118" i="1"/>
  <c r="J118" i="1"/>
  <c r="J109" i="1"/>
  <c r="I109" i="1"/>
  <c r="J101" i="1"/>
  <c r="I101" i="1"/>
  <c r="J93" i="1"/>
  <c r="I93" i="1"/>
  <c r="J85" i="1"/>
  <c r="I85" i="1"/>
  <c r="J75" i="1"/>
  <c r="I75" i="1"/>
  <c r="J67" i="1"/>
  <c r="I67" i="1"/>
  <c r="J59" i="1"/>
  <c r="I59" i="1"/>
  <c r="J51" i="1"/>
  <c r="I51" i="1"/>
  <c r="J43" i="1"/>
  <c r="I43" i="1"/>
  <c r="J35" i="1"/>
  <c r="I35" i="1"/>
  <c r="J27" i="1"/>
  <c r="I27" i="1"/>
  <c r="J18" i="1"/>
  <c r="I18" i="1"/>
  <c r="J10" i="1"/>
  <c r="I10" i="1"/>
  <c r="I134" i="1"/>
  <c r="J134" i="1"/>
  <c r="J125" i="1"/>
  <c r="I125" i="1"/>
  <c r="J117" i="1"/>
  <c r="I117" i="1"/>
  <c r="J108" i="1"/>
  <c r="I108" i="1"/>
  <c r="J100" i="1"/>
  <c r="I100" i="1"/>
  <c r="J92" i="1"/>
  <c r="I92" i="1"/>
  <c r="J84" i="1"/>
  <c r="I84" i="1"/>
  <c r="J74" i="1"/>
  <c r="I74" i="1"/>
  <c r="J66" i="1"/>
  <c r="I66" i="1"/>
  <c r="J58" i="1"/>
  <c r="I58" i="1"/>
  <c r="J50" i="1"/>
  <c r="I50" i="1"/>
  <c r="J42" i="1"/>
  <c r="I42" i="1"/>
  <c r="J34" i="1"/>
  <c r="I34" i="1"/>
  <c r="J26" i="1"/>
  <c r="I26" i="1"/>
  <c r="J17" i="1"/>
  <c r="I17" i="1"/>
  <c r="J9" i="1"/>
  <c r="I9" i="1"/>
  <c r="I380" i="1"/>
  <c r="J380" i="1"/>
  <c r="I356" i="1"/>
  <c r="J356" i="1"/>
  <c r="J324" i="1"/>
  <c r="I324" i="1"/>
  <c r="J147" i="1"/>
  <c r="I147" i="1"/>
  <c r="J395" i="1"/>
  <c r="I395" i="1"/>
  <c r="J394" i="1"/>
  <c r="I394" i="1"/>
  <c r="J362" i="1"/>
  <c r="I362" i="1"/>
  <c r="J322" i="1"/>
  <c r="I322" i="1"/>
  <c r="J161" i="1"/>
  <c r="I161" i="1"/>
  <c r="J6" i="1"/>
  <c r="I6" i="1"/>
  <c r="J391" i="1"/>
  <c r="I391" i="1"/>
  <c r="J367" i="1"/>
  <c r="I367" i="1"/>
  <c r="J351" i="1"/>
  <c r="I351" i="1"/>
  <c r="J335" i="1"/>
  <c r="I335" i="1"/>
  <c r="J327" i="1"/>
  <c r="I327" i="1"/>
  <c r="J311" i="1"/>
  <c r="I311" i="1"/>
  <c r="J287" i="1"/>
  <c r="I287" i="1"/>
  <c r="J270" i="1"/>
  <c r="I270" i="1"/>
  <c r="I254" i="1"/>
  <c r="J254" i="1"/>
  <c r="J238" i="1"/>
  <c r="I238" i="1"/>
  <c r="I230" i="1"/>
  <c r="J230" i="1"/>
  <c r="J214" i="1"/>
  <c r="I214" i="1"/>
  <c r="I198" i="1"/>
  <c r="J198" i="1"/>
  <c r="J174" i="1"/>
  <c r="I174" i="1"/>
  <c r="I158" i="1"/>
  <c r="J158" i="1"/>
  <c r="J150" i="1"/>
  <c r="I150" i="1"/>
  <c r="I398" i="1"/>
  <c r="J398" i="1"/>
  <c r="J390" i="1"/>
  <c r="I390" i="1"/>
  <c r="J382" i="1"/>
  <c r="I382" i="1"/>
  <c r="I374" i="1"/>
  <c r="J374" i="1"/>
  <c r="J366" i="1"/>
  <c r="I366" i="1"/>
  <c r="I358" i="1"/>
  <c r="J358" i="1"/>
  <c r="J350" i="1"/>
  <c r="I350" i="1"/>
  <c r="J342" i="1"/>
  <c r="I342" i="1"/>
  <c r="I334" i="1"/>
  <c r="J334" i="1"/>
  <c r="J326" i="1"/>
  <c r="I326" i="1"/>
  <c r="J318" i="1"/>
  <c r="I318" i="1"/>
  <c r="I310" i="1"/>
  <c r="J310" i="1"/>
  <c r="J302" i="1"/>
  <c r="I302" i="1"/>
  <c r="J294" i="1"/>
  <c r="I294" i="1"/>
  <c r="I286" i="1"/>
  <c r="J286" i="1"/>
  <c r="J277" i="1"/>
  <c r="I277" i="1"/>
  <c r="J269" i="1"/>
  <c r="I269" i="1"/>
  <c r="J261" i="1"/>
  <c r="I261" i="1"/>
  <c r="J253" i="1"/>
  <c r="I253" i="1"/>
  <c r="J245" i="1"/>
  <c r="I245" i="1"/>
  <c r="J237" i="1"/>
  <c r="I237" i="1"/>
  <c r="J229" i="1"/>
  <c r="I229" i="1"/>
  <c r="J221" i="1"/>
  <c r="I221" i="1"/>
  <c r="J213" i="1"/>
  <c r="I213" i="1"/>
  <c r="J205" i="1"/>
  <c r="I205" i="1"/>
  <c r="J197" i="1"/>
  <c r="I197" i="1"/>
  <c r="J189" i="1"/>
  <c r="I189" i="1"/>
  <c r="J181" i="1"/>
  <c r="I181" i="1"/>
  <c r="J173" i="1"/>
  <c r="I173" i="1"/>
  <c r="J165" i="1"/>
  <c r="I165" i="1"/>
  <c r="J157" i="1"/>
  <c r="I157" i="1"/>
  <c r="J149" i="1"/>
  <c r="I149" i="1"/>
  <c r="J141" i="1"/>
  <c r="I141" i="1"/>
  <c r="J133" i="1"/>
  <c r="I133" i="1"/>
  <c r="J124" i="1"/>
  <c r="I124" i="1"/>
  <c r="J116" i="1"/>
  <c r="I116" i="1"/>
  <c r="J107" i="1"/>
  <c r="I107" i="1"/>
  <c r="J99" i="1"/>
  <c r="I99" i="1"/>
  <c r="J91" i="1"/>
  <c r="I91" i="1"/>
  <c r="J83" i="1"/>
  <c r="I83" i="1"/>
  <c r="J73" i="1"/>
  <c r="I73" i="1"/>
  <c r="J65" i="1"/>
  <c r="I65" i="1"/>
  <c r="J57" i="1"/>
  <c r="I57" i="1"/>
  <c r="J49" i="1"/>
  <c r="I49" i="1"/>
  <c r="J41" i="1"/>
  <c r="I41" i="1"/>
  <c r="J33" i="1"/>
  <c r="I33" i="1"/>
  <c r="J25" i="1"/>
  <c r="I25" i="1"/>
  <c r="J16" i="1"/>
  <c r="I16" i="1"/>
  <c r="J8" i="1"/>
  <c r="I8" i="1"/>
  <c r="I396" i="1"/>
  <c r="J396" i="1"/>
  <c r="I372" i="1"/>
  <c r="J372" i="1"/>
  <c r="J340" i="1"/>
  <c r="I340" i="1"/>
  <c r="J155" i="1"/>
  <c r="I155" i="1"/>
  <c r="J387" i="1"/>
  <c r="I387" i="1"/>
  <c r="J386" i="1"/>
  <c r="I386" i="1"/>
  <c r="J354" i="1"/>
  <c r="I354" i="1"/>
  <c r="J330" i="1"/>
  <c r="I330" i="1"/>
  <c r="J169" i="1"/>
  <c r="I169" i="1"/>
  <c r="J383" i="1"/>
  <c r="I383" i="1"/>
  <c r="J375" i="1"/>
  <c r="I375" i="1"/>
  <c r="J359" i="1"/>
  <c r="I359" i="1"/>
  <c r="J343" i="1"/>
  <c r="I343" i="1"/>
  <c r="J319" i="1"/>
  <c r="I319" i="1"/>
  <c r="J303" i="1"/>
  <c r="I303" i="1"/>
  <c r="J295" i="1"/>
  <c r="I295" i="1"/>
  <c r="J278" i="1"/>
  <c r="I278" i="1"/>
  <c r="I262" i="1"/>
  <c r="J262" i="1"/>
  <c r="J246" i="1"/>
  <c r="I246" i="1"/>
  <c r="I222" i="1"/>
  <c r="J222" i="1"/>
  <c r="J206" i="1"/>
  <c r="I206" i="1"/>
  <c r="I190" i="1"/>
  <c r="J190" i="1"/>
  <c r="J182" i="1"/>
  <c r="I182" i="1"/>
  <c r="I166" i="1"/>
  <c r="J166" i="1"/>
  <c r="J142" i="1"/>
  <c r="I142" i="1"/>
  <c r="J397" i="1"/>
  <c r="I397" i="1"/>
  <c r="J389" i="1"/>
  <c r="I389" i="1"/>
  <c r="J381" i="1"/>
  <c r="I381" i="1"/>
  <c r="J373" i="1"/>
  <c r="I373" i="1"/>
  <c r="J365" i="1"/>
  <c r="I365" i="1"/>
  <c r="J357" i="1"/>
  <c r="I357" i="1"/>
  <c r="J349" i="1"/>
  <c r="I349" i="1"/>
  <c r="J341" i="1"/>
  <c r="I341" i="1"/>
  <c r="J333" i="1"/>
  <c r="I333" i="1"/>
  <c r="J325" i="1"/>
  <c r="I325" i="1"/>
  <c r="J317" i="1"/>
  <c r="I317" i="1"/>
  <c r="J309" i="1"/>
  <c r="I309" i="1"/>
  <c r="J301" i="1"/>
  <c r="I301" i="1"/>
  <c r="J293" i="1"/>
  <c r="I293" i="1"/>
  <c r="J285" i="1"/>
  <c r="I285" i="1"/>
  <c r="J276" i="1"/>
  <c r="I276" i="1"/>
  <c r="J268" i="1"/>
  <c r="I268" i="1"/>
  <c r="J260" i="1"/>
  <c r="I260" i="1"/>
  <c r="J252" i="1"/>
  <c r="I252" i="1"/>
  <c r="J244" i="1"/>
  <c r="I244" i="1"/>
  <c r="J236" i="1"/>
  <c r="I236" i="1"/>
  <c r="J228" i="1"/>
  <c r="I228" i="1"/>
  <c r="J220" i="1"/>
  <c r="I220" i="1"/>
  <c r="J212" i="1"/>
  <c r="I212" i="1"/>
  <c r="J204" i="1"/>
  <c r="I204" i="1"/>
  <c r="J196" i="1"/>
  <c r="I196" i="1"/>
  <c r="J188" i="1"/>
  <c r="I188" i="1"/>
  <c r="J180" i="1"/>
  <c r="I180" i="1"/>
  <c r="J172" i="1"/>
  <c r="I172" i="1"/>
  <c r="J164" i="1"/>
  <c r="I164" i="1"/>
  <c r="J156" i="1"/>
  <c r="I156" i="1"/>
  <c r="J148" i="1"/>
  <c r="I148" i="1"/>
  <c r="J140" i="1"/>
  <c r="I140" i="1"/>
  <c r="J132" i="1"/>
  <c r="I132" i="1"/>
  <c r="J123" i="1"/>
  <c r="I123" i="1"/>
  <c r="J115" i="1"/>
  <c r="I115" i="1"/>
  <c r="J106" i="1"/>
  <c r="I106" i="1"/>
  <c r="J98" i="1"/>
  <c r="I98" i="1"/>
  <c r="J90" i="1"/>
  <c r="I90" i="1"/>
  <c r="J82" i="1"/>
  <c r="I82" i="1"/>
  <c r="I72" i="1"/>
  <c r="J72" i="1"/>
  <c r="I64" i="1"/>
  <c r="J64" i="1"/>
  <c r="I56" i="1"/>
  <c r="J56" i="1"/>
  <c r="I48" i="1"/>
  <c r="J48" i="1"/>
  <c r="I40" i="1"/>
  <c r="J40" i="1"/>
  <c r="I32" i="1"/>
  <c r="J32" i="1"/>
  <c r="J23" i="1"/>
  <c r="I23" i="1"/>
  <c r="J15" i="1"/>
  <c r="I15" i="1"/>
  <c r="J7" i="1"/>
  <c r="I7" i="1"/>
  <c r="AG79" i="1"/>
  <c r="AB79" i="1" s="1"/>
  <c r="K128" i="1"/>
  <c r="K282" i="1"/>
  <c r="K79" i="1"/>
  <c r="K76" i="1"/>
  <c r="K24" i="1"/>
  <c r="R368" i="1"/>
  <c r="AE315" i="1"/>
  <c r="S398" i="1"/>
  <c r="S390" i="1"/>
  <c r="S382" i="1"/>
  <c r="S374" i="1"/>
  <c r="S366" i="1"/>
  <c r="S358" i="1"/>
  <c r="S350" i="1"/>
  <c r="S342" i="1"/>
  <c r="S334" i="1"/>
  <c r="S326" i="1"/>
  <c r="S318" i="1"/>
  <c r="S310" i="1"/>
  <c r="S302" i="1"/>
  <c r="S294" i="1"/>
  <c r="S286" i="1"/>
  <c r="S278" i="1"/>
  <c r="S270" i="1"/>
  <c r="S262" i="1"/>
  <c r="S254" i="1"/>
  <c r="S246" i="1"/>
  <c r="S238" i="1"/>
  <c r="S230" i="1"/>
  <c r="S222" i="1"/>
  <c r="S214" i="1"/>
  <c r="S206" i="1"/>
  <c r="S198" i="1"/>
  <c r="S190" i="1"/>
  <c r="S182" i="1"/>
  <c r="S174" i="1"/>
  <c r="S166" i="1"/>
  <c r="S158" i="1"/>
  <c r="S150" i="1"/>
  <c r="S142" i="1"/>
  <c r="S134" i="1"/>
  <c r="S126" i="1"/>
  <c r="S118" i="1"/>
  <c r="S110" i="1"/>
  <c r="S102" i="1"/>
  <c r="S94" i="1"/>
  <c r="S86" i="1"/>
  <c r="S78" i="1"/>
  <c r="S70" i="1"/>
  <c r="S62" i="1"/>
  <c r="S54" i="1"/>
  <c r="S46" i="1"/>
  <c r="S38" i="1"/>
  <c r="S30" i="1"/>
  <c r="S22" i="1"/>
  <c r="S397" i="1"/>
  <c r="S389" i="1"/>
  <c r="S381" i="1"/>
  <c r="S365" i="1"/>
  <c r="S357" i="1"/>
  <c r="S349" i="1"/>
  <c r="S341" i="1"/>
  <c r="S333" i="1"/>
  <c r="S325" i="1"/>
  <c r="S317" i="1"/>
  <c r="S309" i="1"/>
  <c r="S301" i="1"/>
  <c r="S293" i="1"/>
  <c r="S285" i="1"/>
  <c r="S277" i="1"/>
  <c r="S269" i="1"/>
  <c r="S261" i="1"/>
  <c r="S253" i="1"/>
  <c r="S245" i="1"/>
  <c r="S237" i="1"/>
  <c r="S229" i="1"/>
  <c r="S221" i="1"/>
  <c r="S213" i="1"/>
  <c r="S205" i="1"/>
  <c r="S197" i="1"/>
  <c r="S189" i="1"/>
  <c r="S181" i="1"/>
  <c r="S173" i="1"/>
  <c r="S165" i="1"/>
  <c r="S157" i="1"/>
  <c r="S149" i="1"/>
  <c r="S141" i="1"/>
  <c r="S133" i="1"/>
  <c r="S125" i="1"/>
  <c r="S109" i="1"/>
  <c r="S101" i="1"/>
  <c r="S93" i="1"/>
  <c r="S85" i="1"/>
  <c r="S77" i="1"/>
  <c r="S69" i="1"/>
  <c r="S61" i="1"/>
  <c r="S53" i="1"/>
  <c r="S45" i="1"/>
  <c r="S37" i="1"/>
  <c r="S29" i="1"/>
  <c r="S396" i="1"/>
  <c r="S388" i="1"/>
  <c r="S380" i="1"/>
  <c r="S372" i="1"/>
  <c r="S364" i="1"/>
  <c r="S356" i="1"/>
  <c r="S348" i="1"/>
  <c r="S340" i="1"/>
  <c r="S332" i="1"/>
  <c r="S324" i="1"/>
  <c r="S316" i="1"/>
  <c r="N316" i="1"/>
  <c r="S308" i="1"/>
  <c r="S300" i="1"/>
  <c r="S292" i="1"/>
  <c r="S284" i="1"/>
  <c r="S276" i="1"/>
  <c r="S268" i="1"/>
  <c r="S260" i="1"/>
  <c r="S252" i="1"/>
  <c r="S244" i="1"/>
  <c r="S236" i="1"/>
  <c r="S228" i="1"/>
  <c r="S220" i="1"/>
  <c r="S212" i="1"/>
  <c r="S204" i="1"/>
  <c r="S196" i="1"/>
  <c r="S188" i="1"/>
  <c r="S180" i="1"/>
  <c r="S172" i="1"/>
  <c r="S164" i="1"/>
  <c r="S156" i="1"/>
  <c r="S148" i="1"/>
  <c r="S140" i="1"/>
  <c r="S132" i="1"/>
  <c r="S124" i="1"/>
  <c r="S116" i="1"/>
  <c r="S108" i="1"/>
  <c r="S100" i="1"/>
  <c r="S92" i="1"/>
  <c r="S84" i="1"/>
  <c r="S76" i="1"/>
  <c r="S68" i="1"/>
  <c r="S60" i="1"/>
  <c r="S52" i="1"/>
  <c r="S44" i="1"/>
  <c r="S36" i="1"/>
  <c r="S28" i="1"/>
  <c r="S20" i="1"/>
  <c r="S395" i="1"/>
  <c r="S387" i="1"/>
  <c r="S379" i="1"/>
  <c r="S371" i="1"/>
  <c r="S363" i="1"/>
  <c r="S355" i="1"/>
  <c r="S347" i="1"/>
  <c r="S339" i="1"/>
  <c r="S331" i="1"/>
  <c r="S323" i="1"/>
  <c r="S315" i="1"/>
  <c r="S307" i="1"/>
  <c r="S299" i="1"/>
  <c r="S291" i="1"/>
  <c r="S283" i="1"/>
  <c r="S275" i="1"/>
  <c r="S267" i="1"/>
  <c r="S259" i="1"/>
  <c r="S251" i="1"/>
  <c r="S243" i="1"/>
  <c r="S235" i="1"/>
  <c r="S227" i="1"/>
  <c r="S219" i="1"/>
  <c r="S211" i="1"/>
  <c r="S203" i="1"/>
  <c r="S195" i="1"/>
  <c r="S187" i="1"/>
  <c r="S179" i="1"/>
  <c r="S171" i="1"/>
  <c r="S163" i="1"/>
  <c r="S155" i="1"/>
  <c r="S147" i="1"/>
  <c r="S139" i="1"/>
  <c r="S131" i="1"/>
  <c r="S123" i="1"/>
  <c r="S115" i="1"/>
  <c r="S107" i="1"/>
  <c r="S99" i="1"/>
  <c r="S91" i="1"/>
  <c r="S83" i="1"/>
  <c r="S75" i="1"/>
  <c r="S67" i="1"/>
  <c r="S59" i="1"/>
  <c r="S51" i="1"/>
  <c r="S43" i="1"/>
  <c r="S35" i="1"/>
  <c r="S27" i="1"/>
  <c r="S394" i="1"/>
  <c r="S386" i="1"/>
  <c r="S378" i="1"/>
  <c r="S370" i="1"/>
  <c r="S362" i="1"/>
  <c r="S354" i="1"/>
  <c r="S346" i="1"/>
  <c r="S338" i="1"/>
  <c r="S330" i="1"/>
  <c r="S314" i="1"/>
  <c r="S306" i="1"/>
  <c r="S298" i="1"/>
  <c r="S290" i="1"/>
  <c r="S274" i="1"/>
  <c r="N274" i="1"/>
  <c r="S266" i="1"/>
  <c r="S258" i="1"/>
  <c r="S250" i="1"/>
  <c r="S242" i="1"/>
  <c r="S234" i="1"/>
  <c r="S226" i="1"/>
  <c r="S218" i="1"/>
  <c r="S210" i="1"/>
  <c r="S202" i="1"/>
  <c r="S194" i="1"/>
  <c r="S186" i="1"/>
  <c r="S178" i="1"/>
  <c r="S170" i="1"/>
  <c r="S146" i="1"/>
  <c r="S138" i="1"/>
  <c r="N138" i="1"/>
  <c r="S130" i="1"/>
  <c r="S122" i="1"/>
  <c r="S114" i="1"/>
  <c r="S106" i="1"/>
  <c r="N106" i="1"/>
  <c r="S98" i="1"/>
  <c r="S90" i="1"/>
  <c r="S82" i="1"/>
  <c r="S74" i="1"/>
  <c r="N74" i="1"/>
  <c r="S66" i="1"/>
  <c r="S58" i="1"/>
  <c r="S50" i="1"/>
  <c r="S42" i="1"/>
  <c r="N42" i="1"/>
  <c r="S34" i="1"/>
  <c r="S26" i="1"/>
  <c r="S393" i="1"/>
  <c r="S385" i="1"/>
  <c r="S377" i="1"/>
  <c r="S369" i="1"/>
  <c r="S345" i="1"/>
  <c r="S329" i="1"/>
  <c r="S321" i="1"/>
  <c r="S313" i="1"/>
  <c r="S305" i="1"/>
  <c r="S297" i="1"/>
  <c r="N297" i="1"/>
  <c r="S289" i="1"/>
  <c r="S281" i="1"/>
  <c r="S265" i="1"/>
  <c r="S257" i="1"/>
  <c r="S249" i="1"/>
  <c r="S233" i="1"/>
  <c r="N233" i="1"/>
  <c r="S225" i="1"/>
  <c r="S209" i="1"/>
  <c r="S201" i="1"/>
  <c r="S193" i="1"/>
  <c r="S185" i="1"/>
  <c r="S177" i="1"/>
  <c r="S169" i="1"/>
  <c r="S161" i="1"/>
  <c r="S129" i="1"/>
  <c r="S113" i="1"/>
  <c r="S105" i="1"/>
  <c r="S97" i="1"/>
  <c r="S89" i="1"/>
  <c r="S81" i="1"/>
  <c r="S65" i="1"/>
  <c r="S49" i="1"/>
  <c r="S41" i="1"/>
  <c r="S33" i="1"/>
  <c r="S25" i="1"/>
  <c r="S392" i="1"/>
  <c r="S384" i="1"/>
  <c r="S376" i="1"/>
  <c r="S360" i="1"/>
  <c r="S352" i="1"/>
  <c r="S344" i="1"/>
  <c r="S336" i="1"/>
  <c r="S328" i="1"/>
  <c r="S320" i="1"/>
  <c r="S312" i="1"/>
  <c r="S304" i="1"/>
  <c r="S296" i="1"/>
  <c r="S288" i="1"/>
  <c r="S280" i="1"/>
  <c r="S272" i="1"/>
  <c r="S264" i="1"/>
  <c r="S256" i="1"/>
  <c r="S248" i="1"/>
  <c r="S240" i="1"/>
  <c r="S232" i="1"/>
  <c r="S224" i="1"/>
  <c r="S216" i="1"/>
  <c r="S208" i="1"/>
  <c r="S200" i="1"/>
  <c r="S192" i="1"/>
  <c r="S184" i="1"/>
  <c r="N184" i="1"/>
  <c r="S176" i="1"/>
  <c r="S168" i="1"/>
  <c r="S160" i="1"/>
  <c r="S152" i="1"/>
  <c r="S144" i="1"/>
  <c r="S136" i="1"/>
  <c r="S128" i="1"/>
  <c r="S120" i="1"/>
  <c r="N120" i="1"/>
  <c r="S112" i="1"/>
  <c r="S104" i="1"/>
  <c r="S96" i="1"/>
  <c r="S88" i="1"/>
  <c r="S80" i="1"/>
  <c r="S72" i="1"/>
  <c r="S64" i="1"/>
  <c r="S56" i="1"/>
  <c r="N56" i="1"/>
  <c r="S48" i="1"/>
  <c r="S40" i="1"/>
  <c r="S32" i="1"/>
  <c r="S24" i="1"/>
  <c r="N188" i="1"/>
  <c r="S373" i="1"/>
  <c r="S391" i="1"/>
  <c r="S383" i="1"/>
  <c r="S367" i="1"/>
  <c r="S359" i="1"/>
  <c r="S351" i="1"/>
  <c r="S343" i="1"/>
  <c r="S327" i="1"/>
  <c r="S303" i="1"/>
  <c r="S295" i="1"/>
  <c r="S287" i="1"/>
  <c r="S279" i="1"/>
  <c r="S271" i="1"/>
  <c r="S263" i="1"/>
  <c r="S239" i="1"/>
  <c r="S231" i="1"/>
  <c r="S223" i="1"/>
  <c r="S215" i="1"/>
  <c r="S207" i="1"/>
  <c r="S199" i="1"/>
  <c r="S175" i="1"/>
  <c r="S167" i="1"/>
  <c r="S151" i="1"/>
  <c r="S135" i="1"/>
  <c r="S119" i="1"/>
  <c r="S103" i="1"/>
  <c r="S79" i="1"/>
  <c r="S71" i="1"/>
  <c r="S55" i="1"/>
  <c r="S47" i="1"/>
  <c r="S39" i="1"/>
  <c r="S31" i="1"/>
  <c r="S117" i="1"/>
  <c r="S19" i="1"/>
  <c r="AD244" i="1" l="1"/>
  <c r="AF244" i="1" s="1"/>
  <c r="AD98" i="1"/>
  <c r="AF98" i="1" s="1"/>
  <c r="AD40" i="1"/>
  <c r="AF40" i="1" s="1"/>
  <c r="AE333" i="1"/>
  <c r="AF383" i="1"/>
  <c r="AD189" i="1"/>
  <c r="AF189" i="1" s="1"/>
  <c r="AD350" i="1"/>
  <c r="AF350" i="1" s="1"/>
  <c r="AD34" i="1"/>
  <c r="AF34" i="1" s="1"/>
  <c r="AD392" i="1"/>
  <c r="AF392" i="1" s="1"/>
  <c r="AE184" i="1"/>
  <c r="AF377" i="1"/>
  <c r="AF185" i="1"/>
  <c r="AF20" i="1"/>
  <c r="AD54" i="1"/>
  <c r="AF54" i="1" s="1"/>
  <c r="AD154" i="1"/>
  <c r="AF154" i="1" s="1"/>
  <c r="AF315" i="1"/>
  <c r="AG315" i="1" s="1"/>
  <c r="AB315" i="1" s="1"/>
  <c r="AD39" i="1"/>
  <c r="AF39" i="1" s="1"/>
  <c r="AC309" i="1"/>
  <c r="AE309" i="1" s="1"/>
  <c r="AE206" i="1"/>
  <c r="AD396" i="1"/>
  <c r="AF396" i="1" s="1"/>
  <c r="AC99" i="1"/>
  <c r="AE99" i="1" s="1"/>
  <c r="AE370" i="1"/>
  <c r="AF206" i="1"/>
  <c r="AD278" i="1"/>
  <c r="AF278" i="1" s="1"/>
  <c r="AD390" i="1"/>
  <c r="AF390" i="1" s="1"/>
  <c r="AD74" i="1"/>
  <c r="AF74" i="1" s="1"/>
  <c r="AD271" i="1"/>
  <c r="AF271" i="1" s="1"/>
  <c r="AD52" i="1"/>
  <c r="AF52" i="1" s="1"/>
  <c r="AD192" i="1"/>
  <c r="AF192" i="1" s="1"/>
  <c r="AD201" i="1"/>
  <c r="AF201" i="1" s="1"/>
  <c r="AF370" i="1"/>
  <c r="AD47" i="1"/>
  <c r="AF47" i="1" s="1"/>
  <c r="AD222" i="1"/>
  <c r="AF222" i="1" s="1"/>
  <c r="AF334" i="1"/>
  <c r="AD398" i="1"/>
  <c r="AF398" i="1" s="1"/>
  <c r="AD254" i="1"/>
  <c r="AF254" i="1" s="1"/>
  <c r="AD41" i="1"/>
  <c r="AF41" i="1" s="1"/>
  <c r="AE334" i="1"/>
  <c r="AC398" i="1"/>
  <c r="AE398" i="1" s="1"/>
  <c r="AD391" i="1"/>
  <c r="AF391" i="1" s="1"/>
  <c r="AD153" i="1"/>
  <c r="AF153" i="1" s="1"/>
  <c r="AD60" i="1"/>
  <c r="AF60" i="1" s="1"/>
  <c r="AD393" i="1"/>
  <c r="AF393" i="1" s="1"/>
  <c r="AD273" i="1"/>
  <c r="AF273" i="1" s="1"/>
  <c r="AD266" i="1"/>
  <c r="AF266" i="1" s="1"/>
  <c r="AC389" i="1"/>
  <c r="AE389" i="1" s="1"/>
  <c r="AE214" i="1"/>
  <c r="AC394" i="1"/>
  <c r="AE394" i="1" s="1"/>
  <c r="AC384" i="1"/>
  <c r="AE384" i="1" s="1"/>
  <c r="AD102" i="1"/>
  <c r="AF102" i="1" s="1"/>
  <c r="AD228" i="1"/>
  <c r="AF228" i="1" s="1"/>
  <c r="AD49" i="1"/>
  <c r="AF49" i="1" s="1"/>
  <c r="AF214" i="1"/>
  <c r="AD394" i="1"/>
  <c r="AF394" i="1" s="1"/>
  <c r="AD384" i="1"/>
  <c r="AF384" i="1" s="1"/>
  <c r="AD225" i="1"/>
  <c r="AF225" i="1" s="1"/>
  <c r="AD388" i="1"/>
  <c r="AF388" i="1" s="1"/>
  <c r="AC189" i="1"/>
  <c r="AE189" i="1" s="1"/>
  <c r="AD152" i="1"/>
  <c r="AF152" i="1" s="1"/>
  <c r="AF184" i="1"/>
  <c r="AD280" i="1"/>
  <c r="AF280" i="1" s="1"/>
  <c r="AC142" i="1"/>
  <c r="AE142" i="1" s="1"/>
  <c r="AD148" i="1"/>
  <c r="AF148" i="1" s="1"/>
  <c r="K171" i="1"/>
  <c r="AD28" i="1"/>
  <c r="AF28" i="1" s="1"/>
  <c r="AV230" i="1"/>
  <c r="AD29" i="1"/>
  <c r="AF29" i="1" s="1"/>
  <c r="S282" i="1"/>
  <c r="AV346" i="1"/>
  <c r="AY362" i="1"/>
  <c r="AV167" i="1"/>
  <c r="AY288" i="1"/>
  <c r="AY352" i="1"/>
  <c r="AV32" i="1"/>
  <c r="N169" i="1"/>
  <c r="K313" i="1"/>
  <c r="K356" i="1"/>
  <c r="S255" i="1"/>
  <c r="K175" i="1"/>
  <c r="K209" i="1"/>
  <c r="S121" i="1"/>
  <c r="S337" i="1"/>
  <c r="K381" i="1"/>
  <c r="AD381" i="1"/>
  <c r="AF381" i="1" s="1"/>
  <c r="K111" i="1"/>
  <c r="K277" i="1"/>
  <c r="S191" i="1"/>
  <c r="S319" i="1"/>
  <c r="AD319" i="1"/>
  <c r="AF319" i="1" s="1"/>
  <c r="K251" i="1"/>
  <c r="AD251" i="1"/>
  <c r="AF251" i="1" s="1"/>
  <c r="K75" i="1"/>
  <c r="AD75" i="1"/>
  <c r="AF75" i="1" s="1"/>
  <c r="S57" i="1"/>
  <c r="K131" i="1"/>
  <c r="K213" i="1"/>
  <c r="K169" i="1"/>
  <c r="S95" i="1"/>
  <c r="K383" i="1"/>
  <c r="AE383" i="1"/>
  <c r="S145" i="1"/>
  <c r="S361" i="1"/>
  <c r="K149" i="1"/>
  <c r="K23" i="1"/>
  <c r="K273" i="1"/>
  <c r="S23" i="1"/>
  <c r="S63" i="1"/>
  <c r="S159" i="1"/>
  <c r="K35" i="1"/>
  <c r="K181" i="1"/>
  <c r="AD181" i="1"/>
  <c r="AF181" i="1" s="1"/>
  <c r="K49" i="1"/>
  <c r="K292" i="1"/>
  <c r="S87" i="1"/>
  <c r="S183" i="1"/>
  <c r="S247" i="1"/>
  <c r="S311" i="1"/>
  <c r="S375" i="1"/>
  <c r="S143" i="1"/>
  <c r="S335" i="1"/>
  <c r="K113" i="1"/>
  <c r="K145" i="1"/>
  <c r="S73" i="1"/>
  <c r="S217" i="1"/>
  <c r="S241" i="1"/>
  <c r="S111" i="1"/>
  <c r="K187" i="1"/>
  <c r="K316" i="1"/>
  <c r="K283" i="1"/>
  <c r="K340" i="1"/>
  <c r="S137" i="1"/>
  <c r="S353" i="1"/>
  <c r="K359" i="1"/>
  <c r="K347" i="1"/>
  <c r="K260" i="1"/>
  <c r="K195" i="1"/>
  <c r="K89" i="1"/>
  <c r="K300" i="1"/>
  <c r="K133" i="1"/>
  <c r="AD133" i="1"/>
  <c r="AF133" i="1" s="1"/>
  <c r="K387" i="1"/>
  <c r="K241" i="1"/>
  <c r="K53" i="1"/>
  <c r="AD53" i="1"/>
  <c r="AF53" i="1" s="1"/>
  <c r="K325" i="1"/>
  <c r="K223" i="1"/>
  <c r="K391" i="1"/>
  <c r="AC60" i="1"/>
  <c r="AE60" i="1" s="1"/>
  <c r="K83" i="1"/>
  <c r="K331" i="1"/>
  <c r="K193" i="1"/>
  <c r="K372" i="1"/>
  <c r="K85" i="1"/>
  <c r="K333" i="1"/>
  <c r="AF333" i="1"/>
  <c r="K228" i="1"/>
  <c r="K396" i="1"/>
  <c r="AC396" i="1"/>
  <c r="AE396" i="1" s="1"/>
  <c r="AD46" i="1"/>
  <c r="AF46" i="1" s="1"/>
  <c r="K77" i="1"/>
  <c r="K323" i="1"/>
  <c r="K185" i="1"/>
  <c r="AE185" i="1"/>
  <c r="K388" i="1"/>
  <c r="K67" i="1"/>
  <c r="K307" i="1"/>
  <c r="K201" i="1"/>
  <c r="K377" i="1"/>
  <c r="AE377" i="1"/>
  <c r="K37" i="1"/>
  <c r="K309" i="1"/>
  <c r="K207" i="1"/>
  <c r="AC207" i="1"/>
  <c r="AE207" i="1" s="1"/>
  <c r="K380" i="1"/>
  <c r="K99" i="1"/>
  <c r="K379" i="1"/>
  <c r="K236" i="1"/>
  <c r="K91" i="1"/>
  <c r="K339" i="1"/>
  <c r="K231" i="1"/>
  <c r="K69" i="1"/>
  <c r="K341" i="1"/>
  <c r="K233" i="1"/>
  <c r="K157" i="1"/>
  <c r="K25" i="1"/>
  <c r="K257" i="1"/>
  <c r="K123" i="1"/>
  <c r="AD123" i="1"/>
  <c r="AF123" i="1" s="1"/>
  <c r="K371" i="1"/>
  <c r="K252" i="1"/>
  <c r="K93" i="1"/>
  <c r="K373" i="1"/>
  <c r="K255" i="1"/>
  <c r="K57" i="1"/>
  <c r="K279" i="1"/>
  <c r="K227" i="1"/>
  <c r="AD227" i="1"/>
  <c r="AF227" i="1" s="1"/>
  <c r="K121" i="1"/>
  <c r="K321" i="1"/>
  <c r="K165" i="1"/>
  <c r="K33" i="1"/>
  <c r="K263" i="1"/>
  <c r="K109" i="1"/>
  <c r="K357" i="1"/>
  <c r="K244" i="1"/>
  <c r="K115" i="1"/>
  <c r="AD115" i="1"/>
  <c r="AF115" i="1" s="1"/>
  <c r="K225" i="1"/>
  <c r="K393" i="1"/>
  <c r="K117" i="1"/>
  <c r="K365" i="1"/>
  <c r="K249" i="1"/>
  <c r="K125" i="1"/>
  <c r="K55" i="1"/>
  <c r="K276" i="1"/>
  <c r="K221" i="1"/>
  <c r="K87" i="1"/>
  <c r="K297" i="1"/>
  <c r="K259" i="1"/>
  <c r="K151" i="1"/>
  <c r="K343" i="1"/>
  <c r="K197" i="1"/>
  <c r="K65" i="1"/>
  <c r="K303" i="1"/>
  <c r="K139" i="1"/>
  <c r="K389" i="1"/>
  <c r="AD389" i="1"/>
  <c r="AF389" i="1" s="1"/>
  <c r="K265" i="1"/>
  <c r="K141" i="1"/>
  <c r="K395" i="1"/>
  <c r="AD395" i="1"/>
  <c r="AF395" i="1" s="1"/>
  <c r="K247" i="1"/>
  <c r="K147" i="1"/>
  <c r="K397" i="1"/>
  <c r="AD397" i="1"/>
  <c r="AF397" i="1" s="1"/>
  <c r="K271" i="1"/>
  <c r="K31" i="1"/>
  <c r="K155" i="1"/>
  <c r="AD155" i="1"/>
  <c r="AF155" i="1" s="1"/>
  <c r="K81" i="1"/>
  <c r="K295" i="1"/>
  <c r="K253" i="1"/>
  <c r="AD253" i="1"/>
  <c r="AF253" i="1" s="1"/>
  <c r="K119" i="1"/>
  <c r="K319" i="1"/>
  <c r="K19" i="1"/>
  <c r="AD19" i="1"/>
  <c r="AF19" i="1" s="1"/>
  <c r="K285" i="1"/>
  <c r="K183" i="1"/>
  <c r="K364" i="1"/>
  <c r="K229" i="1"/>
  <c r="AD229" i="1"/>
  <c r="AF229" i="1" s="1"/>
  <c r="K95" i="1"/>
  <c r="K324" i="1"/>
  <c r="K39" i="1"/>
  <c r="K284" i="1"/>
  <c r="K173" i="1"/>
  <c r="K41" i="1"/>
  <c r="K268" i="1"/>
  <c r="K179" i="1"/>
  <c r="AD179" i="1"/>
  <c r="AF179" i="1" s="1"/>
  <c r="K47" i="1"/>
  <c r="K289" i="1"/>
  <c r="K203" i="1"/>
  <c r="K71" i="1"/>
  <c r="K305" i="1"/>
  <c r="K205" i="1"/>
  <c r="K73" i="1"/>
  <c r="K287" i="1"/>
  <c r="K120" i="1"/>
  <c r="K211" i="1"/>
  <c r="K105" i="1"/>
  <c r="K311" i="1"/>
  <c r="K45" i="1"/>
  <c r="AD45" i="1"/>
  <c r="AF45" i="1" s="1"/>
  <c r="K215" i="1"/>
  <c r="K385" i="1"/>
  <c r="K21" i="1"/>
  <c r="K261" i="1"/>
  <c r="K127" i="1"/>
  <c r="K345" i="1"/>
  <c r="K245" i="1"/>
  <c r="K137" i="1"/>
  <c r="K335" i="1"/>
  <c r="K219" i="1"/>
  <c r="K143" i="1"/>
  <c r="K337" i="1"/>
  <c r="K40" i="1"/>
  <c r="K72" i="1"/>
  <c r="K43" i="1"/>
  <c r="K177" i="1"/>
  <c r="K361" i="1"/>
  <c r="K101" i="1"/>
  <c r="K349" i="1"/>
  <c r="K239" i="1"/>
  <c r="K51" i="1"/>
  <c r="AD51" i="1"/>
  <c r="AF51" i="1" s="1"/>
  <c r="K153" i="1"/>
  <c r="K367" i="1"/>
  <c r="K235" i="1"/>
  <c r="K97" i="1"/>
  <c r="K327" i="1"/>
  <c r="K237" i="1"/>
  <c r="K103" i="1"/>
  <c r="K308" i="1"/>
  <c r="K243" i="1"/>
  <c r="K135" i="1"/>
  <c r="K332" i="1"/>
  <c r="AD25" i="1"/>
  <c r="AF25" i="1" s="1"/>
  <c r="K267" i="1"/>
  <c r="K159" i="1"/>
  <c r="K348" i="1"/>
  <c r="K27" i="1"/>
  <c r="K269" i="1"/>
  <c r="AD269" i="1"/>
  <c r="AF269" i="1" s="1"/>
  <c r="K129" i="1"/>
  <c r="K329" i="1"/>
  <c r="K20" i="1"/>
  <c r="AE20" i="1"/>
  <c r="K275" i="1"/>
  <c r="K167" i="1"/>
  <c r="K353" i="1"/>
  <c r="K163" i="1"/>
  <c r="K63" i="1"/>
  <c r="K281" i="1"/>
  <c r="K107" i="1"/>
  <c r="K355" i="1"/>
  <c r="K217" i="1"/>
  <c r="K293" i="1"/>
  <c r="K191" i="1"/>
  <c r="K369" i="1"/>
  <c r="K59" i="1"/>
  <c r="K299" i="1"/>
  <c r="K161" i="1"/>
  <c r="K351" i="1"/>
  <c r="K29" i="1"/>
  <c r="K61" i="1"/>
  <c r="K301" i="1"/>
  <c r="K199" i="1"/>
  <c r="K375" i="1"/>
  <c r="AD186" i="1"/>
  <c r="AF186" i="1" s="1"/>
  <c r="AY19" i="1"/>
  <c r="AY87" i="1"/>
  <c r="N135" i="1"/>
  <c r="AY183" i="1"/>
  <c r="N199" i="1"/>
  <c r="AY247" i="1"/>
  <c r="AY160" i="1"/>
  <c r="AY184" i="1"/>
  <c r="AY329" i="1"/>
  <c r="N345" i="1"/>
  <c r="N369" i="1"/>
  <c r="AV262" i="1"/>
  <c r="N318" i="1"/>
  <c r="N342" i="1"/>
  <c r="N366" i="1"/>
  <c r="AY312" i="1"/>
  <c r="AV83" i="1"/>
  <c r="AV147" i="1"/>
  <c r="AV211" i="1"/>
  <c r="N352" i="1"/>
  <c r="AY118" i="1"/>
  <c r="AY26" i="1"/>
  <c r="AY50" i="1"/>
  <c r="N90" i="1"/>
  <c r="N30" i="1"/>
  <c r="AV62" i="1"/>
  <c r="AV48" i="1"/>
  <c r="AV72" i="1"/>
  <c r="N80" i="1"/>
  <c r="N128" i="1"/>
  <c r="AY176" i="1"/>
  <c r="AY200" i="1"/>
  <c r="AV248" i="1"/>
  <c r="AV312" i="1"/>
  <c r="AY328" i="1"/>
  <c r="AY23" i="1"/>
  <c r="AV31" i="1"/>
  <c r="AY47" i="1"/>
  <c r="N63" i="1"/>
  <c r="AV95" i="1"/>
  <c r="AY111" i="1"/>
  <c r="N127" i="1"/>
  <c r="AY48" i="1"/>
  <c r="AY72" i="1"/>
  <c r="AV144" i="1"/>
  <c r="AV232" i="1"/>
  <c r="AY248" i="1"/>
  <c r="AV296" i="1"/>
  <c r="AV360" i="1"/>
  <c r="AV384" i="1"/>
  <c r="AY241" i="1"/>
  <c r="AV337" i="1"/>
  <c r="AY353" i="1"/>
  <c r="AV134" i="1"/>
  <c r="AY150" i="1"/>
  <c r="AV54" i="1"/>
  <c r="K294" i="1"/>
  <c r="K326" i="1"/>
  <c r="K350" i="1"/>
  <c r="K382" i="1"/>
  <c r="K296" i="1"/>
  <c r="K360" i="1"/>
  <c r="K392" i="1"/>
  <c r="K168" i="1"/>
  <c r="K200" i="1"/>
  <c r="K264" i="1"/>
  <c r="N126" i="1"/>
  <c r="K310" i="1"/>
  <c r="K334" i="1"/>
  <c r="K366" i="1"/>
  <c r="K398" i="1"/>
  <c r="K312" i="1"/>
  <c r="K376" i="1"/>
  <c r="K152" i="1"/>
  <c r="K184" i="1"/>
  <c r="K216" i="1"/>
  <c r="K248" i="1"/>
  <c r="N349" i="1"/>
  <c r="N161" i="1"/>
  <c r="AY169" i="1"/>
  <c r="K328" i="1"/>
  <c r="K38" i="1"/>
  <c r="K70" i="1"/>
  <c r="K104" i="1"/>
  <c r="N89" i="1"/>
  <c r="AV142" i="1"/>
  <c r="AY186" i="1"/>
  <c r="AY210" i="1"/>
  <c r="AY298" i="1"/>
  <c r="N69" i="1"/>
  <c r="AY77" i="1"/>
  <c r="AY165" i="1"/>
  <c r="AV213" i="1"/>
  <c r="AY229" i="1"/>
  <c r="AV277" i="1"/>
  <c r="AY293" i="1"/>
  <c r="AV341" i="1"/>
  <c r="AY357" i="1"/>
  <c r="N373" i="1"/>
  <c r="AY393" i="1"/>
  <c r="N50" i="1"/>
  <c r="N363" i="1"/>
  <c r="AV395" i="1"/>
  <c r="AY36" i="1"/>
  <c r="N52" i="1"/>
  <c r="AV84" i="1"/>
  <c r="N116" i="1"/>
  <c r="AV148" i="1"/>
  <c r="N180" i="1"/>
  <c r="N204" i="1"/>
  <c r="AY276" i="1"/>
  <c r="N292" i="1"/>
  <c r="AY364" i="1"/>
  <c r="AY388" i="1"/>
  <c r="AV45" i="1"/>
  <c r="AY61" i="1"/>
  <c r="N77" i="1"/>
  <c r="AV109" i="1"/>
  <c r="AV133" i="1"/>
  <c r="AY213" i="1"/>
  <c r="AY277" i="1"/>
  <c r="AY78" i="1"/>
  <c r="N94" i="1"/>
  <c r="N384" i="1"/>
  <c r="AV385" i="1"/>
  <c r="AV322" i="1"/>
  <c r="AY35" i="1"/>
  <c r="N51" i="1"/>
  <c r="AY99" i="1"/>
  <c r="N115" i="1"/>
  <c r="AY163" i="1"/>
  <c r="N179" i="1"/>
  <c r="N243" i="1"/>
  <c r="AV275" i="1"/>
  <c r="N307" i="1"/>
  <c r="AV339" i="1"/>
  <c r="N371" i="1"/>
  <c r="AY371" i="1"/>
  <c r="AY22" i="1"/>
  <c r="AV373" i="1"/>
  <c r="AV39" i="1"/>
  <c r="N71" i="1"/>
  <c r="AV79" i="1"/>
  <c r="AV103" i="1"/>
  <c r="AV175" i="1"/>
  <c r="AV239" i="1"/>
  <c r="N271" i="1"/>
  <c r="AV303" i="1"/>
  <c r="N335" i="1"/>
  <c r="AV367" i="1"/>
  <c r="AV240" i="1"/>
  <c r="AY256" i="1"/>
  <c r="AV304" i="1"/>
  <c r="AY320" i="1"/>
  <c r="AV392" i="1"/>
  <c r="AY70" i="1"/>
  <c r="N86" i="1"/>
  <c r="AY146" i="1"/>
  <c r="AV179" i="1"/>
  <c r="AY195" i="1"/>
  <c r="AY259" i="1"/>
  <c r="AY323" i="1"/>
  <c r="AV212" i="1"/>
  <c r="AY252" i="1"/>
  <c r="AV300" i="1"/>
  <c r="AV324" i="1"/>
  <c r="K44" i="1"/>
  <c r="AV214" i="1"/>
  <c r="AV238" i="1"/>
  <c r="AY234" i="1"/>
  <c r="N392" i="1"/>
  <c r="N183" i="1"/>
  <c r="K26" i="1"/>
  <c r="K58" i="1"/>
  <c r="K92" i="1"/>
  <c r="AY396" i="1"/>
  <c r="N37" i="1"/>
  <c r="N101" i="1"/>
  <c r="AY261" i="1"/>
  <c r="AV309" i="1"/>
  <c r="AV41" i="1"/>
  <c r="N49" i="1"/>
  <c r="AY57" i="1"/>
  <c r="AV105" i="1"/>
  <c r="N113" i="1"/>
  <c r="AY121" i="1"/>
  <c r="AY145" i="1"/>
  <c r="N130" i="1"/>
  <c r="N242" i="1"/>
  <c r="K344" i="1"/>
  <c r="AY322" i="1"/>
  <c r="AV318" i="1"/>
  <c r="AV56" i="1"/>
  <c r="AV20" i="1"/>
  <c r="N380" i="1"/>
  <c r="AV49" i="1"/>
  <c r="AY65" i="1"/>
  <c r="AV113" i="1"/>
  <c r="AY129" i="1"/>
  <c r="N145" i="1"/>
  <c r="AV34" i="1"/>
  <c r="AV58" i="1"/>
  <c r="AV82" i="1"/>
  <c r="AY98" i="1"/>
  <c r="AV217" i="1"/>
  <c r="AV241" i="1"/>
  <c r="N249" i="1"/>
  <c r="AY257" i="1"/>
  <c r="N273" i="1"/>
  <c r="AV353" i="1"/>
  <c r="AV377" i="1"/>
  <c r="AY142" i="1"/>
  <c r="AV254" i="1"/>
  <c r="AV278" i="1"/>
  <c r="K138" i="1"/>
  <c r="K170" i="1"/>
  <c r="K202" i="1"/>
  <c r="K234" i="1"/>
  <c r="K266" i="1"/>
  <c r="K116" i="1"/>
  <c r="K232" i="1"/>
  <c r="N168" i="1"/>
  <c r="AY338" i="1"/>
  <c r="K50" i="1"/>
  <c r="K84" i="1"/>
  <c r="AV66" i="1"/>
  <c r="AV90" i="1"/>
  <c r="AV114" i="1"/>
  <c r="AY130" i="1"/>
  <c r="AV138" i="1"/>
  <c r="AV202" i="1"/>
  <c r="AV226" i="1"/>
  <c r="N282" i="1"/>
  <c r="AV314" i="1"/>
  <c r="AY60" i="1"/>
  <c r="AY124" i="1"/>
  <c r="AV196" i="1"/>
  <c r="AV284" i="1"/>
  <c r="AY324" i="1"/>
  <c r="AV372" i="1"/>
  <c r="AV396" i="1"/>
  <c r="K28" i="1"/>
  <c r="K52" i="1"/>
  <c r="AY85" i="1"/>
  <c r="AY173" i="1"/>
  <c r="AV221" i="1"/>
  <c r="AY237" i="1"/>
  <c r="N253" i="1"/>
  <c r="AV285" i="1"/>
  <c r="AY301" i="1"/>
  <c r="N317" i="1"/>
  <c r="AV349" i="1"/>
  <c r="AY365" i="1"/>
  <c r="AY62" i="1"/>
  <c r="N78" i="1"/>
  <c r="AV110" i="1"/>
  <c r="AY190" i="1"/>
  <c r="N206" i="1"/>
  <c r="AY350" i="1"/>
  <c r="AY374" i="1"/>
  <c r="AY398" i="1"/>
  <c r="AV47" i="1"/>
  <c r="AV111" i="1"/>
  <c r="N257" i="1"/>
  <c r="N281" i="1"/>
  <c r="N305" i="1"/>
  <c r="K132" i="1"/>
  <c r="K156" i="1"/>
  <c r="K188" i="1"/>
  <c r="K220" i="1"/>
  <c r="AY177" i="1"/>
  <c r="N193" i="1"/>
  <c r="AV225" i="1"/>
  <c r="AV249" i="1"/>
  <c r="AY265" i="1"/>
  <c r="AV273" i="1"/>
  <c r="AY289" i="1"/>
  <c r="AV297" i="1"/>
  <c r="AV207" i="1"/>
  <c r="N239" i="1"/>
  <c r="AY346" i="1"/>
  <c r="AV198" i="1"/>
  <c r="AV382" i="1"/>
  <c r="K154" i="1"/>
  <c r="K186" i="1"/>
  <c r="K218" i="1"/>
  <c r="K250" i="1"/>
  <c r="AV143" i="1"/>
  <c r="AV271" i="1"/>
  <c r="AY24" i="1"/>
  <c r="N40" i="1"/>
  <c r="N368" i="1"/>
  <c r="AY119" i="1"/>
  <c r="AY151" i="1"/>
  <c r="AY79" i="1"/>
  <c r="AV159" i="1"/>
  <c r="AY175" i="1"/>
  <c r="N191" i="1"/>
  <c r="AV199" i="1"/>
  <c r="N231" i="1"/>
  <c r="AY239" i="1"/>
  <c r="AV263" i="1"/>
  <c r="N295" i="1"/>
  <c r="AY303" i="1"/>
  <c r="AV327" i="1"/>
  <c r="N359" i="1"/>
  <c r="AY367" i="1"/>
  <c r="AV391" i="1"/>
  <c r="AY56" i="1"/>
  <c r="N72" i="1"/>
  <c r="AV152" i="1"/>
  <c r="K90" i="1"/>
  <c r="AY153" i="1"/>
  <c r="N177" i="1"/>
  <c r="N265" i="1"/>
  <c r="N289" i="1"/>
  <c r="N313" i="1"/>
  <c r="AV98" i="1"/>
  <c r="AV122" i="1"/>
  <c r="AV146" i="1"/>
  <c r="N154" i="1"/>
  <c r="AY202" i="1"/>
  <c r="AY226" i="1"/>
  <c r="AV234" i="1"/>
  <c r="N266" i="1"/>
  <c r="AY314" i="1"/>
  <c r="N35" i="1"/>
  <c r="AY43" i="1"/>
  <c r="AY187" i="1"/>
  <c r="AY251" i="1"/>
  <c r="AY315" i="1"/>
  <c r="AY379" i="1"/>
  <c r="N44" i="1"/>
  <c r="AV76" i="1"/>
  <c r="AY92" i="1"/>
  <c r="N108" i="1"/>
  <c r="AV140" i="1"/>
  <c r="N172" i="1"/>
  <c r="N196" i="1"/>
  <c r="N284" i="1"/>
  <c r="AY356" i="1"/>
  <c r="N372" i="1"/>
  <c r="AY380" i="1"/>
  <c r="N396" i="1"/>
  <c r="K110" i="1"/>
  <c r="AV37" i="1"/>
  <c r="AY53" i="1"/>
  <c r="AV101" i="1"/>
  <c r="AV125" i="1"/>
  <c r="AY141" i="1"/>
  <c r="N157" i="1"/>
  <c r="K54" i="1"/>
  <c r="K88" i="1"/>
  <c r="K346" i="1"/>
  <c r="K378" i="1"/>
  <c r="N256" i="1"/>
  <c r="N320" i="1"/>
  <c r="N55" i="1"/>
  <c r="N119" i="1"/>
  <c r="N32" i="1"/>
  <c r="AY104" i="1"/>
  <c r="AY128" i="1"/>
  <c r="AV176" i="1"/>
  <c r="AV200" i="1"/>
  <c r="N208" i="1"/>
  <c r="AY216" i="1"/>
  <c r="AV264" i="1"/>
  <c r="AV328" i="1"/>
  <c r="AY344" i="1"/>
  <c r="AY368" i="1"/>
  <c r="K64" i="1"/>
  <c r="N210" i="1"/>
  <c r="AY161" i="1"/>
  <c r="AV169" i="1"/>
  <c r="AY185" i="1"/>
  <c r="N201" i="1"/>
  <c r="AV257" i="1"/>
  <c r="AV281" i="1"/>
  <c r="AV305" i="1"/>
  <c r="AY321" i="1"/>
  <c r="AV393" i="1"/>
  <c r="AV338" i="1"/>
  <c r="AY354" i="1"/>
  <c r="N252" i="1"/>
  <c r="AV27" i="1"/>
  <c r="N59" i="1"/>
  <c r="AV91" i="1"/>
  <c r="AY107" i="1"/>
  <c r="N123" i="1"/>
  <c r="AV155" i="1"/>
  <c r="N187" i="1"/>
  <c r="AV219" i="1"/>
  <c r="N251" i="1"/>
  <c r="AY275" i="1"/>
  <c r="AV283" i="1"/>
  <c r="N315" i="1"/>
  <c r="AY339" i="1"/>
  <c r="AV347" i="1"/>
  <c r="N379" i="1"/>
  <c r="N46" i="1"/>
  <c r="AV78" i="1"/>
  <c r="AY94" i="1"/>
  <c r="N110" i="1"/>
  <c r="AY270" i="1"/>
  <c r="AY294" i="1"/>
  <c r="AV366" i="1"/>
  <c r="AV390" i="1"/>
  <c r="K286" i="1"/>
  <c r="K318" i="1"/>
  <c r="K224" i="1"/>
  <c r="K256" i="1"/>
  <c r="N27" i="1"/>
  <c r="AV59" i="1"/>
  <c r="AY75" i="1"/>
  <c r="N91" i="1"/>
  <c r="AV123" i="1"/>
  <c r="AY139" i="1"/>
  <c r="N155" i="1"/>
  <c r="AV187" i="1"/>
  <c r="N219" i="1"/>
  <c r="AV251" i="1"/>
  <c r="N283" i="1"/>
  <c r="AV315" i="1"/>
  <c r="N347" i="1"/>
  <c r="AV379" i="1"/>
  <c r="AY395" i="1"/>
  <c r="K86" i="1"/>
  <c r="K136" i="1"/>
  <c r="AY37" i="1"/>
  <c r="AV85" i="1"/>
  <c r="N141" i="1"/>
  <c r="AY189" i="1"/>
  <c r="N205" i="1"/>
  <c r="AY253" i="1"/>
  <c r="AY317" i="1"/>
  <c r="AY182" i="1"/>
  <c r="N198" i="1"/>
  <c r="AV206" i="1"/>
  <c r="AY318" i="1"/>
  <c r="AY342" i="1"/>
  <c r="AY366" i="1"/>
  <c r="AY390" i="1"/>
  <c r="K290" i="1"/>
  <c r="K322" i="1"/>
  <c r="K386" i="1"/>
  <c r="AY152" i="1"/>
  <c r="N248" i="1"/>
  <c r="N312" i="1"/>
  <c r="N209" i="1"/>
  <c r="N21" i="1"/>
  <c r="AV55" i="1"/>
  <c r="AV119" i="1"/>
  <c r="AY199" i="1"/>
  <c r="N215" i="1"/>
  <c r="AV247" i="1"/>
  <c r="AY263" i="1"/>
  <c r="N279" i="1"/>
  <c r="AY287" i="1"/>
  <c r="AV311" i="1"/>
  <c r="AY327" i="1"/>
  <c r="N343" i="1"/>
  <c r="AY351" i="1"/>
  <c r="AV375" i="1"/>
  <c r="AY41" i="1"/>
  <c r="AY105" i="1"/>
  <c r="AV153" i="1"/>
  <c r="AV177" i="1"/>
  <c r="AV201" i="1"/>
  <c r="AY217" i="1"/>
  <c r="N26" i="1"/>
  <c r="AV42" i="1"/>
  <c r="AY58" i="1"/>
  <c r="AY82" i="1"/>
  <c r="N98" i="1"/>
  <c r="AY106" i="1"/>
  <c r="N122" i="1"/>
  <c r="N146" i="1"/>
  <c r="AY170" i="1"/>
  <c r="AV178" i="1"/>
  <c r="N234" i="1"/>
  <c r="AY258" i="1"/>
  <c r="AV266" i="1"/>
  <c r="AY282" i="1"/>
  <c r="AV290" i="1"/>
  <c r="N322" i="1"/>
  <c r="N346" i="1"/>
  <c r="AV378" i="1"/>
  <c r="N386" i="1"/>
  <c r="AY394" i="1"/>
  <c r="K34" i="1"/>
  <c r="K66" i="1"/>
  <c r="K100" i="1"/>
  <c r="K150" i="1"/>
  <c r="K182" i="1"/>
  <c r="K214" i="1"/>
  <c r="K246" i="1"/>
  <c r="K278" i="1"/>
  <c r="AY228" i="1"/>
  <c r="AV325" i="1"/>
  <c r="AV150" i="1"/>
  <c r="AV190" i="1"/>
  <c r="N222" i="1"/>
  <c r="N246" i="1"/>
  <c r="N270" i="1"/>
  <c r="AV350" i="1"/>
  <c r="AV374" i="1"/>
  <c r="AV398" i="1"/>
  <c r="K298" i="1"/>
  <c r="K330" i="1"/>
  <c r="K362" i="1"/>
  <c r="K394" i="1"/>
  <c r="AY20" i="1"/>
  <c r="N36" i="1"/>
  <c r="AV68" i="1"/>
  <c r="N100" i="1"/>
  <c r="AV132" i="1"/>
  <c r="N164" i="1"/>
  <c r="AY212" i="1"/>
  <c r="N276" i="1"/>
  <c r="N364" i="1"/>
  <c r="N388" i="1"/>
  <c r="AV29" i="1"/>
  <c r="AY45" i="1"/>
  <c r="N61" i="1"/>
  <c r="AV93" i="1"/>
  <c r="AV117" i="1"/>
  <c r="AY133" i="1"/>
  <c r="N165" i="1"/>
  <c r="AV181" i="1"/>
  <c r="N229" i="1"/>
  <c r="N357" i="1"/>
  <c r="N381" i="1"/>
  <c r="N142" i="1"/>
  <c r="N31" i="1"/>
  <c r="AY55" i="1"/>
  <c r="AV63" i="1"/>
  <c r="N95" i="1"/>
  <c r="AV127" i="1"/>
  <c r="AY143" i="1"/>
  <c r="N159" i="1"/>
  <c r="AV191" i="1"/>
  <c r="AY207" i="1"/>
  <c r="AY271" i="1"/>
  <c r="AV295" i="1"/>
  <c r="N327" i="1"/>
  <c r="AY335" i="1"/>
  <c r="AV359" i="1"/>
  <c r="N391" i="1"/>
  <c r="K114" i="1"/>
  <c r="AY64" i="1"/>
  <c r="AY88" i="1"/>
  <c r="AV70" i="1"/>
  <c r="AY86" i="1"/>
  <c r="N102" i="1"/>
  <c r="AY238" i="1"/>
  <c r="AY262" i="1"/>
  <c r="K306" i="1"/>
  <c r="K338" i="1"/>
  <c r="K370" i="1"/>
  <c r="N280" i="1"/>
  <c r="K48" i="1"/>
  <c r="AV33" i="1"/>
  <c r="N41" i="1"/>
  <c r="AY49" i="1"/>
  <c r="N65" i="1"/>
  <c r="AV97" i="1"/>
  <c r="N105" i="1"/>
  <c r="AY113" i="1"/>
  <c r="N129" i="1"/>
  <c r="AV209" i="1"/>
  <c r="N217" i="1"/>
  <c r="AY225" i="1"/>
  <c r="AY42" i="1"/>
  <c r="AY178" i="1"/>
  <c r="AY266" i="1"/>
  <c r="AY290" i="1"/>
  <c r="N20" i="1"/>
  <c r="AY44" i="1"/>
  <c r="AV52" i="1"/>
  <c r="AY68" i="1"/>
  <c r="N84" i="1"/>
  <c r="AV116" i="1"/>
  <c r="N148" i="1"/>
  <c r="AY148" i="1"/>
  <c r="AV180" i="1"/>
  <c r="AY196" i="1"/>
  <c r="N236" i="1"/>
  <c r="AY236" i="1"/>
  <c r="AV244" i="1"/>
  <c r="N260" i="1"/>
  <c r="AV268" i="1"/>
  <c r="AY284" i="1"/>
  <c r="AY308" i="1"/>
  <c r="N348" i="1"/>
  <c r="AV356" i="1"/>
  <c r="AV380" i="1"/>
  <c r="K60" i="1"/>
  <c r="AY29" i="1"/>
  <c r="N45" i="1"/>
  <c r="AV77" i="1"/>
  <c r="AY93" i="1"/>
  <c r="N109" i="1"/>
  <c r="AY117" i="1"/>
  <c r="N149" i="1"/>
  <c r="AY181" i="1"/>
  <c r="AV205" i="1"/>
  <c r="N213" i="1"/>
  <c r="N237" i="1"/>
  <c r="AY245" i="1"/>
  <c r="AV269" i="1"/>
  <c r="N277" i="1"/>
  <c r="N301" i="1"/>
  <c r="AY309" i="1"/>
  <c r="AV333" i="1"/>
  <c r="N341" i="1"/>
  <c r="AY397" i="1"/>
  <c r="K280" i="1"/>
  <c r="AY21" i="1"/>
  <c r="N338" i="1"/>
  <c r="AV80" i="1"/>
  <c r="AY120" i="1"/>
  <c r="N176" i="1"/>
  <c r="AY208" i="1"/>
  <c r="AV256" i="1"/>
  <c r="AY272" i="1"/>
  <c r="AV320" i="1"/>
  <c r="AY336" i="1"/>
  <c r="AY73" i="1"/>
  <c r="AY137" i="1"/>
  <c r="AV145" i="1"/>
  <c r="N178" i="1"/>
  <c r="N22" i="1"/>
  <c r="AV222" i="1"/>
  <c r="AV246" i="1"/>
  <c r="AV270" i="1"/>
  <c r="AV294" i="1"/>
  <c r="N350" i="1"/>
  <c r="N374" i="1"/>
  <c r="N398" i="1"/>
  <c r="AY295" i="1"/>
  <c r="AY219" i="1"/>
  <c r="AY283" i="1"/>
  <c r="AY347" i="1"/>
  <c r="AV36" i="1"/>
  <c r="AY52" i="1"/>
  <c r="N68" i="1"/>
  <c r="AV100" i="1"/>
  <c r="N132" i="1"/>
  <c r="AY156" i="1"/>
  <c r="AV164" i="1"/>
  <c r="N220" i="1"/>
  <c r="AY244" i="1"/>
  <c r="N308" i="1"/>
  <c r="N332" i="1"/>
  <c r="N214" i="1"/>
  <c r="N238" i="1"/>
  <c r="AY246" i="1"/>
  <c r="AV342" i="1"/>
  <c r="BF27" i="1"/>
  <c r="R43" i="1"/>
  <c r="Q43" i="1"/>
  <c r="BE67" i="1"/>
  <c r="BF91" i="1"/>
  <c r="R107" i="1"/>
  <c r="Q107" i="1"/>
  <c r="BF131" i="1"/>
  <c r="R171" i="1"/>
  <c r="Q171" i="1"/>
  <c r="BF195" i="1"/>
  <c r="BF259" i="1"/>
  <c r="BF323" i="1"/>
  <c r="BF387" i="1"/>
  <c r="BF60" i="1"/>
  <c r="BE260" i="1"/>
  <c r="R276" i="1"/>
  <c r="Q276" i="1"/>
  <c r="BF300" i="1"/>
  <c r="R37" i="1"/>
  <c r="Q37" i="1"/>
  <c r="BF173" i="1"/>
  <c r="BE261" i="1"/>
  <c r="BE19" i="1"/>
  <c r="BF31" i="1"/>
  <c r="AY39" i="1"/>
  <c r="R71" i="1"/>
  <c r="Q71" i="1"/>
  <c r="BF95" i="1"/>
  <c r="AY103" i="1"/>
  <c r="R135" i="1"/>
  <c r="Q135" i="1"/>
  <c r="BF159" i="1"/>
  <c r="AY167" i="1"/>
  <c r="BE183" i="1"/>
  <c r="R199" i="1"/>
  <c r="Q199" i="1"/>
  <c r="N223" i="1"/>
  <c r="BF223" i="1"/>
  <c r="BE247" i="1"/>
  <c r="AV255" i="1"/>
  <c r="R263" i="1"/>
  <c r="Q263" i="1"/>
  <c r="N287" i="1"/>
  <c r="BF287" i="1"/>
  <c r="BE311" i="1"/>
  <c r="AV319" i="1"/>
  <c r="R327" i="1"/>
  <c r="Q327" i="1"/>
  <c r="N351" i="1"/>
  <c r="BF351" i="1"/>
  <c r="BE375" i="1"/>
  <c r="AV383" i="1"/>
  <c r="N361" i="1"/>
  <c r="BE24" i="1"/>
  <c r="AY32" i="1"/>
  <c r="R40" i="1"/>
  <c r="Q40" i="1"/>
  <c r="R64" i="1"/>
  <c r="Q64" i="1"/>
  <c r="R88" i="1"/>
  <c r="Q88" i="1"/>
  <c r="BF88" i="1"/>
  <c r="AY96" i="1"/>
  <c r="R112" i="1"/>
  <c r="Q112" i="1"/>
  <c r="BE112" i="1"/>
  <c r="BE136" i="1"/>
  <c r="N152" i="1"/>
  <c r="AV168" i="1"/>
  <c r="BE176" i="1"/>
  <c r="AV192" i="1"/>
  <c r="N200" i="1"/>
  <c r="BE200" i="1"/>
  <c r="BF224" i="1"/>
  <c r="N240" i="1"/>
  <c r="N264" i="1"/>
  <c r="BE264" i="1"/>
  <c r="N304" i="1"/>
  <c r="BF312" i="1"/>
  <c r="N328" i="1"/>
  <c r="BE328" i="1"/>
  <c r="S368" i="1"/>
  <c r="Q368" i="1"/>
  <c r="BF376" i="1"/>
  <c r="K82" i="1"/>
  <c r="K148" i="1"/>
  <c r="K180" i="1"/>
  <c r="K212" i="1"/>
  <c r="AV25" i="1"/>
  <c r="R33" i="1"/>
  <c r="Q33" i="1"/>
  <c r="BE57" i="1"/>
  <c r="Q81" i="1"/>
  <c r="R81" i="1"/>
  <c r="BF81" i="1"/>
  <c r="AV89" i="1"/>
  <c r="R97" i="1"/>
  <c r="Q97" i="1"/>
  <c r="BE121" i="1"/>
  <c r="BE145" i="1"/>
  <c r="BE169" i="1"/>
  <c r="BF193" i="1"/>
  <c r="R257" i="1"/>
  <c r="Q257" i="1"/>
  <c r="BE257" i="1"/>
  <c r="R281" i="1"/>
  <c r="Q281" i="1"/>
  <c r="BF281" i="1"/>
  <c r="R305" i="1"/>
  <c r="Q305" i="1"/>
  <c r="BF305" i="1"/>
  <c r="AY313" i="1"/>
  <c r="N329" i="1"/>
  <c r="BF393" i="1"/>
  <c r="AY34" i="1"/>
  <c r="BE122" i="1"/>
  <c r="BE146" i="1"/>
  <c r="BF170" i="1"/>
  <c r="AY194" i="1"/>
  <c r="AY218" i="1"/>
  <c r="BE234" i="1"/>
  <c r="R250" i="1"/>
  <c r="Q250" i="1"/>
  <c r="N258" i="1"/>
  <c r="BF258" i="1"/>
  <c r="R274" i="1"/>
  <c r="Q274" i="1"/>
  <c r="BF282" i="1"/>
  <c r="AY306" i="1"/>
  <c r="R346" i="1"/>
  <c r="Q346" i="1"/>
  <c r="BE346" i="1"/>
  <c r="N370" i="1"/>
  <c r="BF370" i="1"/>
  <c r="BE27" i="1"/>
  <c r="BF51" i="1"/>
  <c r="R67" i="1"/>
  <c r="Q67" i="1"/>
  <c r="BE91" i="1"/>
  <c r="BE115" i="1"/>
  <c r="R131" i="1"/>
  <c r="Q131" i="1"/>
  <c r="BF155" i="1"/>
  <c r="R195" i="1"/>
  <c r="Q195" i="1"/>
  <c r="AY203" i="1"/>
  <c r="BF219" i="1"/>
  <c r="BE243" i="1"/>
  <c r="R259" i="1"/>
  <c r="Q259" i="1"/>
  <c r="AY267" i="1"/>
  <c r="BF283" i="1"/>
  <c r="BE307" i="1"/>
  <c r="R323" i="1"/>
  <c r="Q323" i="1"/>
  <c r="AY331" i="1"/>
  <c r="BF347" i="1"/>
  <c r="BF20" i="1"/>
  <c r="R36" i="1"/>
  <c r="Q36" i="1"/>
  <c r="BE44" i="1"/>
  <c r="R60" i="1"/>
  <c r="Q60" i="1"/>
  <c r="BF84" i="1"/>
  <c r="AY108" i="1"/>
  <c r="R124" i="1"/>
  <c r="Q124" i="1"/>
  <c r="AY132" i="1"/>
  <c r="BF148" i="1"/>
  <c r="BE156" i="1"/>
  <c r="AY172" i="1"/>
  <c r="BE196" i="1"/>
  <c r="AV204" i="1"/>
  <c r="R212" i="1"/>
  <c r="Q212" i="1"/>
  <c r="BE220" i="1"/>
  <c r="BF236" i="1"/>
  <c r="BF260" i="1"/>
  <c r="BF284" i="1"/>
  <c r="AV292" i="1"/>
  <c r="R300" i="1"/>
  <c r="Q300" i="1"/>
  <c r="AV316" i="1"/>
  <c r="R324" i="1"/>
  <c r="Q324" i="1"/>
  <c r="BE348" i="1"/>
  <c r="BF372" i="1"/>
  <c r="BE22" i="1"/>
  <c r="BE55" i="1"/>
  <c r="BE219" i="1"/>
  <c r="R235" i="1"/>
  <c r="Q235" i="1"/>
  <c r="BE283" i="1"/>
  <c r="R299" i="1"/>
  <c r="Q299" i="1"/>
  <c r="BE347" i="1"/>
  <c r="R363" i="1"/>
  <c r="Q363" i="1"/>
  <c r="BE371" i="1"/>
  <c r="BE20" i="1"/>
  <c r="BE84" i="1"/>
  <c r="BE108" i="1"/>
  <c r="BF124" i="1"/>
  <c r="R164" i="1"/>
  <c r="Q164" i="1"/>
  <c r="R188" i="1"/>
  <c r="Q188" i="1"/>
  <c r="BF212" i="1"/>
  <c r="BE324" i="1"/>
  <c r="BE332" i="1"/>
  <c r="BF348" i="1"/>
  <c r="R364" i="1"/>
  <c r="Q364" i="1"/>
  <c r="BE396" i="1"/>
  <c r="BE45" i="1"/>
  <c r="R61" i="1"/>
  <c r="Q61" i="1"/>
  <c r="BF85" i="1"/>
  <c r="R101" i="1"/>
  <c r="Q101" i="1"/>
  <c r="BE109" i="1"/>
  <c r="BE197" i="1"/>
  <c r="BF237" i="1"/>
  <c r="BF301" i="1"/>
  <c r="BE325" i="1"/>
  <c r="R365" i="1"/>
  <c r="Q365" i="1"/>
  <c r="BF365" i="1"/>
  <c r="BF389" i="1"/>
  <c r="N19" i="1"/>
  <c r="R19" i="1"/>
  <c r="Q19" i="1"/>
  <c r="BF19" i="1"/>
  <c r="AV23" i="1"/>
  <c r="BF55" i="1"/>
  <c r="AY63" i="1"/>
  <c r="N79" i="1"/>
  <c r="AV87" i="1"/>
  <c r="Q95" i="1"/>
  <c r="R95" i="1"/>
  <c r="BE103" i="1"/>
  <c r="BF119" i="1"/>
  <c r="AY127" i="1"/>
  <c r="N143" i="1"/>
  <c r="BE143" i="1"/>
  <c r="AV151" i="1"/>
  <c r="Q159" i="1"/>
  <c r="R159" i="1"/>
  <c r="BE167" i="1"/>
  <c r="BF183" i="1"/>
  <c r="AY191" i="1"/>
  <c r="N207" i="1"/>
  <c r="AV215" i="1"/>
  <c r="Q223" i="1"/>
  <c r="R223" i="1"/>
  <c r="AY231" i="1"/>
  <c r="N247" i="1"/>
  <c r="BF247" i="1"/>
  <c r="AY255" i="1"/>
  <c r="AV279" i="1"/>
  <c r="Q287" i="1"/>
  <c r="R287" i="1"/>
  <c r="BE295" i="1"/>
  <c r="N311" i="1"/>
  <c r="BF311" i="1"/>
  <c r="AY319" i="1"/>
  <c r="BE335" i="1"/>
  <c r="AV343" i="1"/>
  <c r="Q351" i="1"/>
  <c r="R351" i="1"/>
  <c r="AY359" i="1"/>
  <c r="N375" i="1"/>
  <c r="BF375" i="1"/>
  <c r="AY383" i="1"/>
  <c r="K22" i="1"/>
  <c r="K122" i="1"/>
  <c r="N24" i="1"/>
  <c r="BF24" i="1"/>
  <c r="R48" i="1"/>
  <c r="Q48" i="1"/>
  <c r="BE48" i="1"/>
  <c r="BE72" i="1"/>
  <c r="N88" i="1"/>
  <c r="BE96" i="1"/>
  <c r="AV104" i="1"/>
  <c r="N112" i="1"/>
  <c r="BF112" i="1"/>
  <c r="AV128" i="1"/>
  <c r="N136" i="1"/>
  <c r="BF136" i="1"/>
  <c r="AY144" i="1"/>
  <c r="N160" i="1"/>
  <c r="BF160" i="1"/>
  <c r="AY168" i="1"/>
  <c r="AY192" i="1"/>
  <c r="R200" i="1"/>
  <c r="Q200" i="1"/>
  <c r="AV216" i="1"/>
  <c r="N224" i="1"/>
  <c r="BE224" i="1"/>
  <c r="AY232" i="1"/>
  <c r="BF248" i="1"/>
  <c r="R264" i="1"/>
  <c r="Q264" i="1"/>
  <c r="AV280" i="1"/>
  <c r="N288" i="1"/>
  <c r="BF288" i="1"/>
  <c r="AY296" i="1"/>
  <c r="R328" i="1"/>
  <c r="Q328" i="1"/>
  <c r="AV344" i="1"/>
  <c r="R352" i="1"/>
  <c r="Q352" i="1"/>
  <c r="BF352" i="1"/>
  <c r="AY360" i="1"/>
  <c r="AV368" i="1"/>
  <c r="N376" i="1"/>
  <c r="BE376" i="1"/>
  <c r="AY384" i="1"/>
  <c r="K32" i="1"/>
  <c r="K56" i="1"/>
  <c r="AY25" i="1"/>
  <c r="BF41" i="1"/>
  <c r="N57" i="1"/>
  <c r="AV73" i="1"/>
  <c r="N81" i="1"/>
  <c r="BE81" i="1"/>
  <c r="AY89" i="1"/>
  <c r="BF105" i="1"/>
  <c r="N121" i="1"/>
  <c r="AV137" i="1"/>
  <c r="AV161" i="1"/>
  <c r="Q169" i="1"/>
  <c r="R169" i="1"/>
  <c r="AV185" i="1"/>
  <c r="BE193" i="1"/>
  <c r="AY201" i="1"/>
  <c r="R217" i="1"/>
  <c r="Q217" i="1"/>
  <c r="BF217" i="1"/>
  <c r="R241" i="1"/>
  <c r="Q241" i="1"/>
  <c r="BF241" i="1"/>
  <c r="BE313" i="1"/>
  <c r="AV321" i="1"/>
  <c r="R329" i="1"/>
  <c r="Q329" i="1"/>
  <c r="BF329" i="1"/>
  <c r="AY337" i="1"/>
  <c r="N353" i="1"/>
  <c r="AY361" i="1"/>
  <c r="N377" i="1"/>
  <c r="R26" i="1"/>
  <c r="Q26" i="1"/>
  <c r="N34" i="1"/>
  <c r="BF34" i="1"/>
  <c r="R50" i="1"/>
  <c r="Q50" i="1"/>
  <c r="N58" i="1"/>
  <c r="BF58" i="1"/>
  <c r="N82" i="1"/>
  <c r="BF82" i="1"/>
  <c r="BF106" i="1"/>
  <c r="AY154" i="1"/>
  <c r="AV162" i="1"/>
  <c r="N170" i="1"/>
  <c r="BE170" i="1"/>
  <c r="R186" i="1"/>
  <c r="Q186" i="1"/>
  <c r="N194" i="1"/>
  <c r="BF194" i="1"/>
  <c r="R210" i="1"/>
  <c r="Q210" i="1"/>
  <c r="N218" i="1"/>
  <c r="BF218" i="1"/>
  <c r="AY242" i="1"/>
  <c r="AV250" i="1"/>
  <c r="BE258" i="1"/>
  <c r="AV274" i="1"/>
  <c r="R298" i="1"/>
  <c r="Q298" i="1"/>
  <c r="N306" i="1"/>
  <c r="BF306" i="1"/>
  <c r="AY330" i="1"/>
  <c r="AV362" i="1"/>
  <c r="Q370" i="1"/>
  <c r="R370" i="1"/>
  <c r="BE370" i="1"/>
  <c r="AY378" i="1"/>
  <c r="N394" i="1"/>
  <c r="BF394" i="1"/>
  <c r="K42" i="1"/>
  <c r="K74" i="1"/>
  <c r="K108" i="1"/>
  <c r="R27" i="1"/>
  <c r="Q27" i="1"/>
  <c r="AV43" i="1"/>
  <c r="BE51" i="1"/>
  <c r="AY59" i="1"/>
  <c r="N75" i="1"/>
  <c r="BF75" i="1"/>
  <c r="R91" i="1"/>
  <c r="Q91" i="1"/>
  <c r="AV107" i="1"/>
  <c r="BF115" i="1"/>
  <c r="AY123" i="1"/>
  <c r="N139" i="1"/>
  <c r="BE139" i="1"/>
  <c r="AV171" i="1"/>
  <c r="BF179" i="1"/>
  <c r="N203" i="1"/>
  <c r="BE203" i="1"/>
  <c r="R219" i="1"/>
  <c r="Q219" i="1"/>
  <c r="AY227" i="1"/>
  <c r="AV235" i="1"/>
  <c r="BF243" i="1"/>
  <c r="N267" i="1"/>
  <c r="BE267" i="1"/>
  <c r="R283" i="1"/>
  <c r="Q283" i="1"/>
  <c r="AY291" i="1"/>
  <c r="AV299" i="1"/>
  <c r="BF307" i="1"/>
  <c r="N331" i="1"/>
  <c r="BE331" i="1"/>
  <c r="R347" i="1"/>
  <c r="Q347" i="1"/>
  <c r="AY355" i="1"/>
  <c r="AV363" i="1"/>
  <c r="N395" i="1"/>
  <c r="R23" i="1"/>
  <c r="Q23" i="1"/>
  <c r="BE95" i="1"/>
  <c r="BF199" i="1"/>
  <c r="AV231" i="1"/>
  <c r="BF263" i="1"/>
  <c r="BE287" i="1"/>
  <c r="BF152" i="1"/>
  <c r="BF240" i="1"/>
  <c r="BE288" i="1"/>
  <c r="BE33" i="1"/>
  <c r="BF57" i="1"/>
  <c r="R73" i="1"/>
  <c r="Q73" i="1"/>
  <c r="BE97" i="1"/>
  <c r="BF257" i="1"/>
  <c r="R345" i="1"/>
  <c r="Q345" i="1"/>
  <c r="BF345" i="1"/>
  <c r="BE50" i="1"/>
  <c r="R66" i="1"/>
  <c r="Q66" i="1"/>
  <c r="BF98" i="1"/>
  <c r="R138" i="1"/>
  <c r="Q138" i="1"/>
  <c r="BF146" i="1"/>
  <c r="BE210" i="1"/>
  <c r="BE298" i="1"/>
  <c r="R314" i="1"/>
  <c r="Q314" i="1"/>
  <c r="BF346" i="1"/>
  <c r="BE386" i="1"/>
  <c r="BE23" i="1"/>
  <c r="Q31" i="1"/>
  <c r="R31" i="1"/>
  <c r="N39" i="1"/>
  <c r="Q55" i="1"/>
  <c r="R55" i="1"/>
  <c r="BE63" i="1"/>
  <c r="AV71" i="1"/>
  <c r="BF79" i="1"/>
  <c r="N103" i="1"/>
  <c r="Q119" i="1"/>
  <c r="R119" i="1"/>
  <c r="AV135" i="1"/>
  <c r="BF143" i="1"/>
  <c r="N167" i="1"/>
  <c r="Q183" i="1"/>
  <c r="R183" i="1"/>
  <c r="BF207" i="1"/>
  <c r="AY215" i="1"/>
  <c r="BE231" i="1"/>
  <c r="Q247" i="1"/>
  <c r="R247" i="1"/>
  <c r="BF271" i="1"/>
  <c r="AY279" i="1"/>
  <c r="Q311" i="1"/>
  <c r="R311" i="1"/>
  <c r="BF335" i="1"/>
  <c r="AY343" i="1"/>
  <c r="BE359" i="1"/>
  <c r="R375" i="1"/>
  <c r="Q375" i="1"/>
  <c r="R24" i="1"/>
  <c r="Q24" i="1"/>
  <c r="AV40" i="1"/>
  <c r="N48" i="1"/>
  <c r="BF48" i="1"/>
  <c r="AV64" i="1"/>
  <c r="BF72" i="1"/>
  <c r="AY80" i="1"/>
  <c r="N96" i="1"/>
  <c r="BE120" i="1"/>
  <c r="R136" i="1"/>
  <c r="Q136" i="1"/>
  <c r="BE160" i="1"/>
  <c r="BF184" i="1"/>
  <c r="Q208" i="1"/>
  <c r="R208" i="1"/>
  <c r="BE208" i="1"/>
  <c r="R224" i="1"/>
  <c r="Q224" i="1"/>
  <c r="BF232" i="1"/>
  <c r="Q248" i="1"/>
  <c r="R248" i="1"/>
  <c r="BE248" i="1"/>
  <c r="BE272" i="1"/>
  <c r="R288" i="1"/>
  <c r="Q288" i="1"/>
  <c r="BF296" i="1"/>
  <c r="Q312" i="1"/>
  <c r="R312" i="1"/>
  <c r="BE312" i="1"/>
  <c r="Q336" i="1"/>
  <c r="R336" i="1"/>
  <c r="BE336" i="1"/>
  <c r="BF360" i="1"/>
  <c r="R376" i="1"/>
  <c r="Q376" i="1"/>
  <c r="BE41" i="1"/>
  <c r="BF65" i="1"/>
  <c r="BE105" i="1"/>
  <c r="BF129" i="1"/>
  <c r="BF177" i="1"/>
  <c r="R193" i="1"/>
  <c r="Q193" i="1"/>
  <c r="BE217" i="1"/>
  <c r="AV233" i="1"/>
  <c r="N241" i="1"/>
  <c r="BE241" i="1"/>
  <c r="AY249" i="1"/>
  <c r="BF265" i="1"/>
  <c r="AY273" i="1"/>
  <c r="BE289" i="1"/>
  <c r="AY297" i="1"/>
  <c r="AV345" i="1"/>
  <c r="BF353" i="1"/>
  <c r="AV369" i="1"/>
  <c r="BF377" i="1"/>
  <c r="AY385" i="1"/>
  <c r="AV26" i="1"/>
  <c r="BE34" i="1"/>
  <c r="AV50" i="1"/>
  <c r="BE58" i="1"/>
  <c r="AY66" i="1"/>
  <c r="AV74" i="1"/>
  <c r="BE82" i="1"/>
  <c r="AY90" i="1"/>
  <c r="BE106" i="1"/>
  <c r="AY114" i="1"/>
  <c r="R122" i="1"/>
  <c r="Q122" i="1"/>
  <c r="BF130" i="1"/>
  <c r="AY138" i="1"/>
  <c r="R146" i="1"/>
  <c r="Q146" i="1"/>
  <c r="AV186" i="1"/>
  <c r="BE194" i="1"/>
  <c r="AV210" i="1"/>
  <c r="BE218" i="1"/>
  <c r="R234" i="1"/>
  <c r="Q234" i="1"/>
  <c r="BF242" i="1"/>
  <c r="AV298" i="1"/>
  <c r="BE306" i="1"/>
  <c r="N330" i="1"/>
  <c r="BF330" i="1"/>
  <c r="R354" i="1"/>
  <c r="Q354" i="1"/>
  <c r="BF354" i="1"/>
  <c r="AV386" i="1"/>
  <c r="K158" i="1"/>
  <c r="K190" i="1"/>
  <c r="K222" i="1"/>
  <c r="K254" i="1"/>
  <c r="BF35" i="1"/>
  <c r="R51" i="1"/>
  <c r="Q51" i="1"/>
  <c r="AV67" i="1"/>
  <c r="BE75" i="1"/>
  <c r="AY83" i="1"/>
  <c r="N99" i="1"/>
  <c r="BF99" i="1"/>
  <c r="R115" i="1"/>
  <c r="Q115" i="1"/>
  <c r="AV131" i="1"/>
  <c r="BF139" i="1"/>
  <c r="AY147" i="1"/>
  <c r="N163" i="1"/>
  <c r="BE163" i="1"/>
  <c r="AV195" i="1"/>
  <c r="BF203" i="1"/>
  <c r="AY211" i="1"/>
  <c r="N227" i="1"/>
  <c r="R243" i="1"/>
  <c r="Q243" i="1"/>
  <c r="AV259" i="1"/>
  <c r="BF267" i="1"/>
  <c r="BE275" i="1"/>
  <c r="N291" i="1"/>
  <c r="BE291" i="1"/>
  <c r="R307" i="1"/>
  <c r="Q307" i="1"/>
  <c r="AV323" i="1"/>
  <c r="BF331" i="1"/>
  <c r="BE339" i="1"/>
  <c r="N355" i="1"/>
  <c r="BE355" i="1"/>
  <c r="R371" i="1"/>
  <c r="Q371" i="1"/>
  <c r="AV387" i="1"/>
  <c r="BF395" i="1"/>
  <c r="BF29" i="1"/>
  <c r="BE53" i="1"/>
  <c r="BF93" i="1"/>
  <c r="BF117" i="1"/>
  <c r="BE141" i="1"/>
  <c r="Q157" i="1"/>
  <c r="R157" i="1"/>
  <c r="BF181" i="1"/>
  <c r="Q197" i="1"/>
  <c r="R197" i="1"/>
  <c r="Q221" i="1"/>
  <c r="R221" i="1"/>
  <c r="BF245" i="1"/>
  <c r="Q261" i="1"/>
  <c r="R261" i="1"/>
  <c r="Q285" i="1"/>
  <c r="R285" i="1"/>
  <c r="BF309" i="1"/>
  <c r="Q325" i="1"/>
  <c r="R325" i="1"/>
  <c r="BE333" i="1"/>
  <c r="BF397" i="1"/>
  <c r="K78" i="1"/>
  <c r="R111" i="1"/>
  <c r="Q111" i="1"/>
  <c r="R175" i="1"/>
  <c r="Q175" i="1"/>
  <c r="BE223" i="1"/>
  <c r="BF391" i="1"/>
  <c r="R128" i="1"/>
  <c r="Q128" i="1"/>
  <c r="BF176" i="1"/>
  <c r="BF200" i="1"/>
  <c r="BF304" i="1"/>
  <c r="R344" i="1"/>
  <c r="Q344" i="1"/>
  <c r="BE352" i="1"/>
  <c r="R57" i="1"/>
  <c r="Q57" i="1"/>
  <c r="R121" i="1"/>
  <c r="Q121" i="1"/>
  <c r="BF121" i="1"/>
  <c r="R137" i="1"/>
  <c r="Q137" i="1"/>
  <c r="BF145" i="1"/>
  <c r="R161" i="1"/>
  <c r="Q161" i="1"/>
  <c r="BF169" i="1"/>
  <c r="Q233" i="1"/>
  <c r="R233" i="1"/>
  <c r="BE233" i="1"/>
  <c r="S273" i="1"/>
  <c r="BE329" i="1"/>
  <c r="BE26" i="1"/>
  <c r="R90" i="1"/>
  <c r="Q90" i="1"/>
  <c r="R114" i="1"/>
  <c r="Q114" i="1"/>
  <c r="BF122" i="1"/>
  <c r="BE186" i="1"/>
  <c r="R202" i="1"/>
  <c r="Q202" i="1"/>
  <c r="R226" i="1"/>
  <c r="Q226" i="1"/>
  <c r="BF234" i="1"/>
  <c r="BF39" i="1"/>
  <c r="BE87" i="1"/>
  <c r="BF103" i="1"/>
  <c r="Q143" i="1"/>
  <c r="R143" i="1"/>
  <c r="BE151" i="1"/>
  <c r="BF167" i="1"/>
  <c r="BE191" i="1"/>
  <c r="BF231" i="1"/>
  <c r="BE255" i="1"/>
  <c r="BF295" i="1"/>
  <c r="BE319" i="1"/>
  <c r="Q335" i="1"/>
  <c r="R335" i="1"/>
  <c r="BF359" i="1"/>
  <c r="BE383" i="1"/>
  <c r="BE32" i="1"/>
  <c r="BE56" i="1"/>
  <c r="R72" i="1"/>
  <c r="Q72" i="1"/>
  <c r="AV88" i="1"/>
  <c r="BF96" i="1"/>
  <c r="Q120" i="1"/>
  <c r="R120" i="1"/>
  <c r="BF120" i="1"/>
  <c r="Q144" i="1"/>
  <c r="R144" i="1"/>
  <c r="BE144" i="1"/>
  <c r="BF201" i="1"/>
  <c r="R265" i="1"/>
  <c r="Q265" i="1"/>
  <c r="BE265" i="1"/>
  <c r="R289" i="1"/>
  <c r="Q289" i="1"/>
  <c r="BF289" i="1"/>
  <c r="R313" i="1"/>
  <c r="Q313" i="1"/>
  <c r="BF313" i="1"/>
  <c r="N337" i="1"/>
  <c r="BE337" i="1"/>
  <c r="BE361" i="1"/>
  <c r="BF42" i="1"/>
  <c r="BE130" i="1"/>
  <c r="R170" i="1"/>
  <c r="Q170" i="1"/>
  <c r="BF178" i="1"/>
  <c r="BE242" i="1"/>
  <c r="R258" i="1"/>
  <c r="Q258" i="1"/>
  <c r="BF266" i="1"/>
  <c r="N290" i="1"/>
  <c r="BF290" i="1"/>
  <c r="BE330" i="1"/>
  <c r="N354" i="1"/>
  <c r="BE354" i="1"/>
  <c r="N378" i="1"/>
  <c r="BF378" i="1"/>
  <c r="R35" i="1"/>
  <c r="Q35" i="1"/>
  <c r="BE35" i="1"/>
  <c r="BF59" i="1"/>
  <c r="R75" i="1"/>
  <c r="Q75" i="1"/>
  <c r="BE123" i="1"/>
  <c r="R139" i="1"/>
  <c r="Q139" i="1"/>
  <c r="BF163" i="1"/>
  <c r="BE187" i="1"/>
  <c r="R203" i="1"/>
  <c r="Q203" i="1"/>
  <c r="BF227" i="1"/>
  <c r="R267" i="1"/>
  <c r="Q267" i="1"/>
  <c r="BF291" i="1"/>
  <c r="BE315" i="1"/>
  <c r="R331" i="1"/>
  <c r="Q331" i="1"/>
  <c r="BF355" i="1"/>
  <c r="BF379" i="1"/>
  <c r="BF28" i="1"/>
  <c r="BE52" i="1"/>
  <c r="R68" i="1"/>
  <c r="Q68" i="1"/>
  <c r="BF92" i="1"/>
  <c r="R132" i="1"/>
  <c r="Q132" i="1"/>
  <c r="BF156" i="1"/>
  <c r="BE204" i="1"/>
  <c r="R220" i="1"/>
  <c r="Q220" i="1"/>
  <c r="BF244" i="1"/>
  <c r="BF268" i="1"/>
  <c r="BE292" i="1"/>
  <c r="R308" i="1"/>
  <c r="Q308" i="1"/>
  <c r="BE316" i="1"/>
  <c r="R332" i="1"/>
  <c r="Q332" i="1"/>
  <c r="BF356" i="1"/>
  <c r="BE380" i="1"/>
  <c r="BF53" i="1"/>
  <c r="Q69" i="1"/>
  <c r="R69" i="1"/>
  <c r="BE77" i="1"/>
  <c r="Q93" i="1"/>
  <c r="R93" i="1"/>
  <c r="AY101" i="1"/>
  <c r="N117" i="1"/>
  <c r="AY125" i="1"/>
  <c r="BF141" i="1"/>
  <c r="BE165" i="1"/>
  <c r="AV173" i="1"/>
  <c r="N181" i="1"/>
  <c r="BF205" i="1"/>
  <c r="AV237" i="1"/>
  <c r="N245" i="1"/>
  <c r="N269" i="1"/>
  <c r="BF269" i="1"/>
  <c r="BE293" i="1"/>
  <c r="AV301" i="1"/>
  <c r="N309" i="1"/>
  <c r="BE30" i="1"/>
  <c r="R46" i="1"/>
  <c r="Q46" i="1"/>
  <c r="BF47" i="1"/>
  <c r="BE31" i="1"/>
  <c r="BE159" i="1"/>
  <c r="R303" i="1"/>
  <c r="Q303" i="1"/>
  <c r="BF327" i="1"/>
  <c r="BF40" i="1"/>
  <c r="BE88" i="1"/>
  <c r="R176" i="1"/>
  <c r="Q176" i="1"/>
  <c r="R240" i="1"/>
  <c r="Q240" i="1"/>
  <c r="R304" i="1"/>
  <c r="Q304" i="1"/>
  <c r="BF328" i="1"/>
  <c r="R160" i="1"/>
  <c r="Q160" i="1"/>
  <c r="BF208" i="1"/>
  <c r="Q272" i="1"/>
  <c r="R272" i="1"/>
  <c r="BF272" i="1"/>
  <c r="AY280" i="1"/>
  <c r="BF336" i="1"/>
  <c r="BE25" i="1"/>
  <c r="R41" i="1"/>
  <c r="Q41" i="1"/>
  <c r="BE65" i="1"/>
  <c r="R89" i="1"/>
  <c r="Q89" i="1"/>
  <c r="BF89" i="1"/>
  <c r="Q105" i="1"/>
  <c r="R105" i="1"/>
  <c r="BE129" i="1"/>
  <c r="R177" i="1"/>
  <c r="Q177" i="1"/>
  <c r="BE177" i="1"/>
  <c r="AV19" i="1"/>
  <c r="N23" i="1"/>
  <c r="BF63" i="1"/>
  <c r="AY71" i="1"/>
  <c r="N87" i="1"/>
  <c r="R103" i="1"/>
  <c r="Q103" i="1"/>
  <c r="AY135" i="1"/>
  <c r="N151" i="1"/>
  <c r="R167" i="1"/>
  <c r="Q167" i="1"/>
  <c r="AV183" i="1"/>
  <c r="BF191" i="1"/>
  <c r="BE215" i="1"/>
  <c r="AV223" i="1"/>
  <c r="R231" i="1"/>
  <c r="Q231" i="1"/>
  <c r="N255" i="1"/>
  <c r="BF255" i="1"/>
  <c r="BE279" i="1"/>
  <c r="AV287" i="1"/>
  <c r="R295" i="1"/>
  <c r="Q295" i="1"/>
  <c r="N319" i="1"/>
  <c r="BF319" i="1"/>
  <c r="BE343" i="1"/>
  <c r="AV351" i="1"/>
  <c r="Q359" i="1"/>
  <c r="R359" i="1"/>
  <c r="N383" i="1"/>
  <c r="BF383" i="1"/>
  <c r="AY391" i="1"/>
  <c r="AV24" i="1"/>
  <c r="BF32" i="1"/>
  <c r="AY40" i="1"/>
  <c r="Q56" i="1"/>
  <c r="R56" i="1"/>
  <c r="BF56" i="1"/>
  <c r="Q80" i="1"/>
  <c r="R80" i="1"/>
  <c r="BE80" i="1"/>
  <c r="R96" i="1"/>
  <c r="Q96" i="1"/>
  <c r="AV112" i="1"/>
  <c r="AV136" i="1"/>
  <c r="N144" i="1"/>
  <c r="BF144" i="1"/>
  <c r="BE168" i="1"/>
  <c r="N192" i="1"/>
  <c r="BF192" i="1"/>
  <c r="AV224" i="1"/>
  <c r="N232" i="1"/>
  <c r="BE232" i="1"/>
  <c r="AY240" i="1"/>
  <c r="BF256" i="1"/>
  <c r="N272" i="1"/>
  <c r="BF280" i="1"/>
  <c r="AV288" i="1"/>
  <c r="N296" i="1"/>
  <c r="BE296" i="1"/>
  <c r="AY304" i="1"/>
  <c r="BE320" i="1"/>
  <c r="N336" i="1"/>
  <c r="AV352" i="1"/>
  <c r="N360" i="1"/>
  <c r="BE360" i="1"/>
  <c r="AV376" i="1"/>
  <c r="BF384" i="1"/>
  <c r="AY392" i="1"/>
  <c r="K98" i="1"/>
  <c r="K164" i="1"/>
  <c r="K196" i="1"/>
  <c r="N25" i="1"/>
  <c r="BF25" i="1"/>
  <c r="AY33" i="1"/>
  <c r="R49" i="1"/>
  <c r="Q49" i="1"/>
  <c r="BF49" i="1"/>
  <c r="AV57" i="1"/>
  <c r="R65" i="1"/>
  <c r="Q65" i="1"/>
  <c r="AV81" i="1"/>
  <c r="BE89" i="1"/>
  <c r="AY97" i="1"/>
  <c r="R113" i="1"/>
  <c r="Q113" i="1"/>
  <c r="BF113" i="1"/>
  <c r="AV121" i="1"/>
  <c r="R129" i="1"/>
  <c r="Q129" i="1"/>
  <c r="N153" i="1"/>
  <c r="AV193" i="1"/>
  <c r="BE201" i="1"/>
  <c r="AY209" i="1"/>
  <c r="N225" i="1"/>
  <c r="BF225" i="1"/>
  <c r="AY233" i="1"/>
  <c r="R249" i="1"/>
  <c r="Q249" i="1"/>
  <c r="BF249" i="1"/>
  <c r="BE297" i="1"/>
  <c r="AV329" i="1"/>
  <c r="Q337" i="1"/>
  <c r="R337" i="1"/>
  <c r="BF337" i="1"/>
  <c r="AY345" i="1"/>
  <c r="Q361" i="1"/>
  <c r="R361" i="1"/>
  <c r="BF361" i="1"/>
  <c r="AY369" i="1"/>
  <c r="N385" i="1"/>
  <c r="BE385" i="1"/>
  <c r="K118" i="1"/>
  <c r="AV44" i="1"/>
  <c r="BF52" i="1"/>
  <c r="N76" i="1"/>
  <c r="R92" i="1"/>
  <c r="Q92" i="1"/>
  <c r="AY100" i="1"/>
  <c r="AV108" i="1"/>
  <c r="BF116" i="1"/>
  <c r="N140" i="1"/>
  <c r="BE140" i="1"/>
  <c r="R156" i="1"/>
  <c r="Q156" i="1"/>
  <c r="BE164" i="1"/>
  <c r="AV172" i="1"/>
  <c r="BF180" i="1"/>
  <c r="AY188" i="1"/>
  <c r="BF204" i="1"/>
  <c r="BE212" i="1"/>
  <c r="N228" i="1"/>
  <c r="AV236" i="1"/>
  <c r="BE252" i="1"/>
  <c r="AV260" i="1"/>
  <c r="R268" i="1"/>
  <c r="Q268" i="1"/>
  <c r="BF292" i="1"/>
  <c r="BE300" i="1"/>
  <c r="BF316" i="1"/>
  <c r="N340" i="1"/>
  <c r="BE340" i="1"/>
  <c r="AV348" i="1"/>
  <c r="R356" i="1"/>
  <c r="Q356" i="1"/>
  <c r="Q380" i="1"/>
  <c r="R380" i="1"/>
  <c r="K94" i="1"/>
  <c r="Q29" i="1"/>
  <c r="R29" i="1"/>
  <c r="BE37" i="1"/>
  <c r="N53" i="1"/>
  <c r="AV69" i="1"/>
  <c r="BF77" i="1"/>
  <c r="BE101" i="1"/>
  <c r="N125" i="1"/>
  <c r="BE125" i="1"/>
  <c r="Q141" i="1"/>
  <c r="R141" i="1"/>
  <c r="AY149" i="1"/>
  <c r="AV157" i="1"/>
  <c r="BF165" i="1"/>
  <c r="N189" i="1"/>
  <c r="AV197" i="1"/>
  <c r="BF229" i="1"/>
  <c r="Q245" i="1"/>
  <c r="R245" i="1"/>
  <c r="AV261" i="1"/>
  <c r="BF293" i="1"/>
  <c r="BE317" i="1"/>
  <c r="N333" i="1"/>
  <c r="AV22" i="1"/>
  <c r="BF71" i="1"/>
  <c r="BE119" i="1"/>
  <c r="BF135" i="1"/>
  <c r="R239" i="1"/>
  <c r="Q239" i="1"/>
  <c r="N263" i="1"/>
  <c r="BE351" i="1"/>
  <c r="R367" i="1"/>
  <c r="Q367" i="1"/>
  <c r="BF64" i="1"/>
  <c r="R104" i="1"/>
  <c r="Q104" i="1"/>
  <c r="AV21" i="1"/>
  <c r="BF23" i="1"/>
  <c r="AY31" i="1"/>
  <c r="N47" i="1"/>
  <c r="R63" i="1"/>
  <c r="Q63" i="1"/>
  <c r="BF87" i="1"/>
  <c r="AY95" i="1"/>
  <c r="N111" i="1"/>
  <c r="BE111" i="1"/>
  <c r="BE135" i="1"/>
  <c r="BF151" i="1"/>
  <c r="AY159" i="1"/>
  <c r="N175" i="1"/>
  <c r="BE175" i="1"/>
  <c r="R191" i="1"/>
  <c r="Q191" i="1"/>
  <c r="BF215" i="1"/>
  <c r="AY223" i="1"/>
  <c r="BE239" i="1"/>
  <c r="R255" i="1"/>
  <c r="Q255" i="1"/>
  <c r="BF279" i="1"/>
  <c r="BE303" i="1"/>
  <c r="R319" i="1"/>
  <c r="Q319" i="1"/>
  <c r="BF343" i="1"/>
  <c r="BE367" i="1"/>
  <c r="R383" i="1"/>
  <c r="Q383" i="1"/>
  <c r="R32" i="1"/>
  <c r="Q32" i="1"/>
  <c r="BE64" i="1"/>
  <c r="BF80" i="1"/>
  <c r="BE104" i="1"/>
  <c r="BE128" i="1"/>
  <c r="AV160" i="1"/>
  <c r="BF168" i="1"/>
  <c r="AV184" i="1"/>
  <c r="R216" i="1"/>
  <c r="Q216" i="1"/>
  <c r="BF216" i="1"/>
  <c r="R232" i="1"/>
  <c r="Q232" i="1"/>
  <c r="BE256" i="1"/>
  <c r="AY264" i="1"/>
  <c r="R296" i="1"/>
  <c r="Q296" i="1"/>
  <c r="BF320" i="1"/>
  <c r="BF344" i="1"/>
  <c r="Q360" i="1"/>
  <c r="R360" i="1"/>
  <c r="BE368" i="1"/>
  <c r="BF392" i="1"/>
  <c r="R145" i="1"/>
  <c r="Q145" i="1"/>
  <c r="R25" i="1"/>
  <c r="Q25" i="1"/>
  <c r="BE49" i="1"/>
  <c r="BF73" i="1"/>
  <c r="BE113" i="1"/>
  <c r="BF137" i="1"/>
  <c r="BF161" i="1"/>
  <c r="N185" i="1"/>
  <c r="BF185" i="1"/>
  <c r="R201" i="1"/>
  <c r="Q201" i="1"/>
  <c r="BE249" i="1"/>
  <c r="BF273" i="1"/>
  <c r="AY281" i="1"/>
  <c r="R297" i="1"/>
  <c r="Q297" i="1"/>
  <c r="BF297" i="1"/>
  <c r="AY305" i="1"/>
  <c r="N321" i="1"/>
  <c r="BE321" i="1"/>
  <c r="BE345" i="1"/>
  <c r="BE369" i="1"/>
  <c r="R385" i="1"/>
  <c r="Q385" i="1"/>
  <c r="BF385" i="1"/>
  <c r="BE66" i="1"/>
  <c r="BE90" i="1"/>
  <c r="AV106" i="1"/>
  <c r="BE114" i="1"/>
  <c r="AY122" i="1"/>
  <c r="R130" i="1"/>
  <c r="Q130" i="1"/>
  <c r="BE138" i="1"/>
  <c r="N162" i="1"/>
  <c r="AV194" i="1"/>
  <c r="BE202" i="1"/>
  <c r="AV218" i="1"/>
  <c r="BE226" i="1"/>
  <c r="R242" i="1"/>
  <c r="Q242" i="1"/>
  <c r="N250" i="1"/>
  <c r="BF250" i="1"/>
  <c r="BF274" i="1"/>
  <c r="AV306" i="1"/>
  <c r="BE314" i="1"/>
  <c r="R330" i="1"/>
  <c r="Q330" i="1"/>
  <c r="R338" i="1"/>
  <c r="Q338" i="1"/>
  <c r="BE338" i="1"/>
  <c r="N362" i="1"/>
  <c r="BF362" i="1"/>
  <c r="AV394" i="1"/>
  <c r="AY27" i="1"/>
  <c r="N43" i="1"/>
  <c r="BF43" i="1"/>
  <c r="R59" i="1"/>
  <c r="Q59" i="1"/>
  <c r="AV75" i="1"/>
  <c r="BE83" i="1"/>
  <c r="AY91" i="1"/>
  <c r="N107" i="1"/>
  <c r="BF107" i="1"/>
  <c r="R123" i="1"/>
  <c r="Q123" i="1"/>
  <c r="AV139" i="1"/>
  <c r="BF147" i="1"/>
  <c r="AY155" i="1"/>
  <c r="N171" i="1"/>
  <c r="BE171" i="1"/>
  <c r="R187" i="1"/>
  <c r="Q187" i="1"/>
  <c r="AV203" i="1"/>
  <c r="BF211" i="1"/>
  <c r="N235" i="1"/>
  <c r="BE235" i="1"/>
  <c r="AV267" i="1"/>
  <c r="BF275" i="1"/>
  <c r="N299" i="1"/>
  <c r="BE299" i="1"/>
  <c r="R315" i="1"/>
  <c r="Q315" i="1"/>
  <c r="AV331" i="1"/>
  <c r="BF339" i="1"/>
  <c r="BE363" i="1"/>
  <c r="R379" i="1"/>
  <c r="Q379" i="1"/>
  <c r="R28" i="1"/>
  <c r="Q28" i="1"/>
  <c r="BE36" i="1"/>
  <c r="R52" i="1"/>
  <c r="Q52" i="1"/>
  <c r="BF76" i="1"/>
  <c r="R116" i="1"/>
  <c r="Q116" i="1"/>
  <c r="BF140" i="1"/>
  <c r="AY164" i="1"/>
  <c r="R180" i="1"/>
  <c r="Q180" i="1"/>
  <c r="BE188" i="1"/>
  <c r="R204" i="1"/>
  <c r="Q204" i="1"/>
  <c r="BF228" i="1"/>
  <c r="BE236" i="1"/>
  <c r="BF252" i="1"/>
  <c r="BE276" i="1"/>
  <c r="R292" i="1"/>
  <c r="Q292" i="1"/>
  <c r="R316" i="1"/>
  <c r="Q316" i="1"/>
  <c r="BF340" i="1"/>
  <c r="BE364" i="1"/>
  <c r="BF37" i="1"/>
  <c r="Q53" i="1"/>
  <c r="R53" i="1"/>
  <c r="BE61" i="1"/>
  <c r="Q77" i="1"/>
  <c r="R77" i="1"/>
  <c r="BF101" i="1"/>
  <c r="BF125" i="1"/>
  <c r="BE149" i="1"/>
  <c r="BF189" i="1"/>
  <c r="BE213" i="1"/>
  <c r="BF253" i="1"/>
  <c r="BE277" i="1"/>
  <c r="N293" i="1"/>
  <c r="BF317" i="1"/>
  <c r="BE341" i="1"/>
  <c r="BE71" i="1"/>
  <c r="R87" i="1"/>
  <c r="Q87" i="1"/>
  <c r="BF111" i="1"/>
  <c r="R151" i="1"/>
  <c r="Q151" i="1"/>
  <c r="BF175" i="1"/>
  <c r="BE199" i="1"/>
  <c r="R215" i="1"/>
  <c r="Q215" i="1"/>
  <c r="BF239" i="1"/>
  <c r="BE263" i="1"/>
  <c r="R279" i="1"/>
  <c r="Q279" i="1"/>
  <c r="N303" i="1"/>
  <c r="BF303" i="1"/>
  <c r="AY311" i="1"/>
  <c r="BE327" i="1"/>
  <c r="AV335" i="1"/>
  <c r="R343" i="1"/>
  <c r="Q343" i="1"/>
  <c r="N367" i="1"/>
  <c r="BF367" i="1"/>
  <c r="AY375" i="1"/>
  <c r="BE40" i="1"/>
  <c r="N64" i="1"/>
  <c r="AV96" i="1"/>
  <c r="N104" i="1"/>
  <c r="BF104" i="1"/>
  <c r="AY112" i="1"/>
  <c r="AV120" i="1"/>
  <c r="BF128" i="1"/>
  <c r="AY136" i="1"/>
  <c r="R168" i="1"/>
  <c r="Q168" i="1"/>
  <c r="AV208" i="1"/>
  <c r="N216" i="1"/>
  <c r="BE216" i="1"/>
  <c r="AY224" i="1"/>
  <c r="BE240" i="1"/>
  <c r="R256" i="1"/>
  <c r="Q256" i="1"/>
  <c r="BF264" i="1"/>
  <c r="AV272" i="1"/>
  <c r="BE304" i="1"/>
  <c r="R320" i="1"/>
  <c r="Q320" i="1"/>
  <c r="AV336" i="1"/>
  <c r="N344" i="1"/>
  <c r="BE344" i="1"/>
  <c r="BF368" i="1"/>
  <c r="AY376" i="1"/>
  <c r="K106" i="1"/>
  <c r="K140" i="1"/>
  <c r="K172" i="1"/>
  <c r="K204" i="1"/>
  <c r="N33" i="1"/>
  <c r="BF33" i="1"/>
  <c r="AV65" i="1"/>
  <c r="N73" i="1"/>
  <c r="BE73" i="1"/>
  <c r="AY81" i="1"/>
  <c r="N97" i="1"/>
  <c r="BF97" i="1"/>
  <c r="AV129" i="1"/>
  <c r="N137" i="1"/>
  <c r="BE137" i="1"/>
  <c r="BE161" i="1"/>
  <c r="AY193" i="1"/>
  <c r="BF209" i="1"/>
  <c r="BF233" i="1"/>
  <c r="AV265" i="1"/>
  <c r="BE281" i="1"/>
  <c r="AV289" i="1"/>
  <c r="BE305" i="1"/>
  <c r="AV313" i="1"/>
  <c r="R321" i="1"/>
  <c r="Q321" i="1"/>
  <c r="BF321" i="1"/>
  <c r="BF26" i="1"/>
  <c r="R42" i="1"/>
  <c r="Q42" i="1"/>
  <c r="BF50" i="1"/>
  <c r="BF74" i="1"/>
  <c r="AV130" i="1"/>
  <c r="AV154" i="1"/>
  <c r="R178" i="1"/>
  <c r="Q178" i="1"/>
  <c r="N186" i="1"/>
  <c r="BF186" i="1"/>
  <c r="BF210" i="1"/>
  <c r="AV242" i="1"/>
  <c r="BE250" i="1"/>
  <c r="BE274" i="1"/>
  <c r="R290" i="1"/>
  <c r="Q290" i="1"/>
  <c r="N298" i="1"/>
  <c r="BF298" i="1"/>
  <c r="AV330" i="1"/>
  <c r="AV354" i="1"/>
  <c r="R362" i="1"/>
  <c r="Q362" i="1"/>
  <c r="BE362" i="1"/>
  <c r="AY370" i="1"/>
  <c r="R386" i="1"/>
  <c r="Q386" i="1"/>
  <c r="BF386" i="1"/>
  <c r="K142" i="1"/>
  <c r="K174" i="1"/>
  <c r="K206" i="1"/>
  <c r="K238" i="1"/>
  <c r="K270" i="1"/>
  <c r="AV35" i="1"/>
  <c r="BE43" i="1"/>
  <c r="AY51" i="1"/>
  <c r="N67" i="1"/>
  <c r="BF67" i="1"/>
  <c r="R83" i="1"/>
  <c r="Q83" i="1"/>
  <c r="AV99" i="1"/>
  <c r="BE107" i="1"/>
  <c r="AY115" i="1"/>
  <c r="N131" i="1"/>
  <c r="BE131" i="1"/>
  <c r="R147" i="1"/>
  <c r="Q147" i="1"/>
  <c r="AV163" i="1"/>
  <c r="BF171" i="1"/>
  <c r="AY179" i="1"/>
  <c r="N195" i="1"/>
  <c r="BE195" i="1"/>
  <c r="R211" i="1"/>
  <c r="Q211" i="1"/>
  <c r="AV227" i="1"/>
  <c r="BF235" i="1"/>
  <c r="AY243" i="1"/>
  <c r="N259" i="1"/>
  <c r="BE259" i="1"/>
  <c r="R275" i="1"/>
  <c r="Q275" i="1"/>
  <c r="AV291" i="1"/>
  <c r="BF299" i="1"/>
  <c r="AY307" i="1"/>
  <c r="N323" i="1"/>
  <c r="BE323" i="1"/>
  <c r="R339" i="1"/>
  <c r="Q339" i="1"/>
  <c r="AV355" i="1"/>
  <c r="BF363" i="1"/>
  <c r="BF371" i="1"/>
  <c r="N387" i="1"/>
  <c r="K126" i="1"/>
  <c r="AV28" i="1"/>
  <c r="BF36" i="1"/>
  <c r="N60" i="1"/>
  <c r="BE60" i="1"/>
  <c r="AY84" i="1"/>
  <c r="AV92" i="1"/>
  <c r="BF100" i="1"/>
  <c r="N124" i="1"/>
  <c r="BE124" i="1"/>
  <c r="R140" i="1"/>
  <c r="Q140" i="1"/>
  <c r="BE148" i="1"/>
  <c r="AV156" i="1"/>
  <c r="BF164" i="1"/>
  <c r="BE172" i="1"/>
  <c r="BF188" i="1"/>
  <c r="N212" i="1"/>
  <c r="AV220" i="1"/>
  <c r="R252" i="1"/>
  <c r="Q252" i="1"/>
  <c r="AY260" i="1"/>
  <c r="BF276" i="1"/>
  <c r="N300" i="1"/>
  <c r="AY300" i="1"/>
  <c r="AV308" i="1"/>
  <c r="N324" i="1"/>
  <c r="BF324" i="1"/>
  <c r="AV332" i="1"/>
  <c r="R340" i="1"/>
  <c r="Q340" i="1"/>
  <c r="AY348" i="1"/>
  <c r="BF364" i="1"/>
  <c r="AY372" i="1"/>
  <c r="BF388" i="1"/>
  <c r="K102" i="1"/>
  <c r="AV53" i="1"/>
  <c r="BF61" i="1"/>
  <c r="AY69" i="1"/>
  <c r="BE85" i="1"/>
  <c r="AY109" i="1"/>
  <c r="R125" i="1"/>
  <c r="Q125" i="1"/>
  <c r="AV141" i="1"/>
  <c r="BF149" i="1"/>
  <c r="AY157" i="1"/>
  <c r="R165" i="1"/>
  <c r="Q165" i="1"/>
  <c r="N173" i="1"/>
  <c r="BE173" i="1"/>
  <c r="AY197" i="1"/>
  <c r="BF213" i="1"/>
  <c r="AY221" i="1"/>
  <c r="BE237" i="1"/>
  <c r="AV245" i="1"/>
  <c r="BF277" i="1"/>
  <c r="AY285" i="1"/>
  <c r="R293" i="1"/>
  <c r="Q293" i="1"/>
  <c r="BE301" i="1"/>
  <c r="R317" i="1"/>
  <c r="Q317" i="1"/>
  <c r="AY325" i="1"/>
  <c r="BF341" i="1"/>
  <c r="AY349" i="1"/>
  <c r="Q357" i="1"/>
  <c r="R357" i="1"/>
  <c r="BE365" i="1"/>
  <c r="AY373" i="1"/>
  <c r="AV397" i="1"/>
  <c r="AV361" i="1"/>
  <c r="R369" i="1"/>
  <c r="Q369" i="1"/>
  <c r="BF369" i="1"/>
  <c r="AY377" i="1"/>
  <c r="N393" i="1"/>
  <c r="R34" i="1"/>
  <c r="Q34" i="1"/>
  <c r="BE42" i="1"/>
  <c r="R58" i="1"/>
  <c r="Q58" i="1"/>
  <c r="N66" i="1"/>
  <c r="BF66" i="1"/>
  <c r="AY74" i="1"/>
  <c r="R82" i="1"/>
  <c r="Q82" i="1"/>
  <c r="BF90" i="1"/>
  <c r="R106" i="1"/>
  <c r="Q106" i="1"/>
  <c r="N114" i="1"/>
  <c r="BF114" i="1"/>
  <c r="BF138" i="1"/>
  <c r="AY162" i="1"/>
  <c r="AV170" i="1"/>
  <c r="BE178" i="1"/>
  <c r="R194" i="1"/>
  <c r="Q194" i="1"/>
  <c r="N202" i="1"/>
  <c r="BF202" i="1"/>
  <c r="R218" i="1"/>
  <c r="Q218" i="1"/>
  <c r="N226" i="1"/>
  <c r="BF226" i="1"/>
  <c r="AY250" i="1"/>
  <c r="AV258" i="1"/>
  <c r="AY274" i="1"/>
  <c r="AV282" i="1"/>
  <c r="BE290" i="1"/>
  <c r="R306" i="1"/>
  <c r="Q306" i="1"/>
  <c r="N314" i="1"/>
  <c r="BF314" i="1"/>
  <c r="BF338" i="1"/>
  <c r="AV370" i="1"/>
  <c r="R378" i="1"/>
  <c r="Q378" i="1"/>
  <c r="BE378" i="1"/>
  <c r="AY386" i="1"/>
  <c r="K134" i="1"/>
  <c r="K166" i="1"/>
  <c r="K198" i="1"/>
  <c r="K230" i="1"/>
  <c r="K262" i="1"/>
  <c r="AV51" i="1"/>
  <c r="BE59" i="1"/>
  <c r="AY67" i="1"/>
  <c r="N83" i="1"/>
  <c r="BF83" i="1"/>
  <c r="AV115" i="1"/>
  <c r="BF123" i="1"/>
  <c r="AY131" i="1"/>
  <c r="N147" i="1"/>
  <c r="BE147" i="1"/>
  <c r="R163" i="1"/>
  <c r="Q163" i="1"/>
  <c r="AY171" i="1"/>
  <c r="BF187" i="1"/>
  <c r="N211" i="1"/>
  <c r="BE211" i="1"/>
  <c r="AY235" i="1"/>
  <c r="AV243" i="1"/>
  <c r="BF251" i="1"/>
  <c r="N275" i="1"/>
  <c r="R291" i="1"/>
  <c r="Q291" i="1"/>
  <c r="AY299" i="1"/>
  <c r="AV307" i="1"/>
  <c r="BF315" i="1"/>
  <c r="N339" i="1"/>
  <c r="R355" i="1"/>
  <c r="Q355" i="1"/>
  <c r="AY363" i="1"/>
  <c r="AV371" i="1"/>
  <c r="BE379" i="1"/>
  <c r="AY387" i="1"/>
  <c r="R20" i="1"/>
  <c r="Q20" i="1"/>
  <c r="N28" i="1"/>
  <c r="BE28" i="1"/>
  <c r="R44" i="1"/>
  <c r="Q44" i="1"/>
  <c r="AV60" i="1"/>
  <c r="BF68" i="1"/>
  <c r="AY76" i="1"/>
  <c r="N92" i="1"/>
  <c r="BE92" i="1"/>
  <c r="R108" i="1"/>
  <c r="Q108" i="1"/>
  <c r="AY116" i="1"/>
  <c r="AV124" i="1"/>
  <c r="BF132" i="1"/>
  <c r="AY140" i="1"/>
  <c r="N156" i="1"/>
  <c r="R172" i="1"/>
  <c r="Q172" i="1"/>
  <c r="AY180" i="1"/>
  <c r="AV188" i="1"/>
  <c r="R196" i="1"/>
  <c r="Q196" i="1"/>
  <c r="AY204" i="1"/>
  <c r="BF220" i="1"/>
  <c r="N244" i="1"/>
  <c r="N268" i="1"/>
  <c r="BE268" i="1"/>
  <c r="AV276" i="1"/>
  <c r="R284" i="1"/>
  <c r="Q284" i="1"/>
  <c r="AY292" i="1"/>
  <c r="BE308" i="1"/>
  <c r="AY316" i="1"/>
  <c r="BF332" i="1"/>
  <c r="AY340" i="1"/>
  <c r="N356" i="1"/>
  <c r="BE356" i="1"/>
  <c r="AV364" i="1"/>
  <c r="R372" i="1"/>
  <c r="Q372" i="1"/>
  <c r="BF380" i="1"/>
  <c r="AV388" i="1"/>
  <c r="Q396" i="1"/>
  <c r="R396" i="1"/>
  <c r="N29" i="1"/>
  <c r="BE29" i="1"/>
  <c r="Q45" i="1"/>
  <c r="R45" i="1"/>
  <c r="AV61" i="1"/>
  <c r="BF69" i="1"/>
  <c r="R85" i="1"/>
  <c r="Q85" i="1"/>
  <c r="N93" i="1"/>
  <c r="BE93" i="1"/>
  <c r="Q109" i="1"/>
  <c r="R109" i="1"/>
  <c r="N133" i="1"/>
  <c r="AV149" i="1"/>
  <c r="BF157" i="1"/>
  <c r="AV189" i="1"/>
  <c r="N197" i="1"/>
  <c r="AY205" i="1"/>
  <c r="N221" i="1"/>
  <c r="BF221" i="1"/>
  <c r="BE245" i="1"/>
  <c r="AV253" i="1"/>
  <c r="N261" i="1"/>
  <c r="AY269" i="1"/>
  <c r="N285" i="1"/>
  <c r="BF285" i="1"/>
  <c r="AV317" i="1"/>
  <c r="N325" i="1"/>
  <c r="AY333" i="1"/>
  <c r="Q349" i="1"/>
  <c r="R349" i="1"/>
  <c r="BF349" i="1"/>
  <c r="BF373" i="1"/>
  <c r="AY381" i="1"/>
  <c r="AV30" i="1"/>
  <c r="N38" i="1"/>
  <c r="BF38" i="1"/>
  <c r="AY46" i="1"/>
  <c r="N62" i="1"/>
  <c r="BE62" i="1"/>
  <c r="Q78" i="1"/>
  <c r="R78" i="1"/>
  <c r="AV94" i="1"/>
  <c r="BF102" i="1"/>
  <c r="AY110" i="1"/>
  <c r="Q142" i="1"/>
  <c r="R142" i="1"/>
  <c r="AV158" i="1"/>
  <c r="BF166" i="1"/>
  <c r="AY174" i="1"/>
  <c r="N190" i="1"/>
  <c r="BE190" i="1"/>
  <c r="Q206" i="1"/>
  <c r="R206" i="1"/>
  <c r="R230" i="1"/>
  <c r="Q230" i="1"/>
  <c r="N254" i="1"/>
  <c r="BF254" i="1"/>
  <c r="N278" i="1"/>
  <c r="BF278" i="1"/>
  <c r="AY286" i="1"/>
  <c r="N302" i="1"/>
  <c r="BF302" i="1"/>
  <c r="AY310" i="1"/>
  <c r="N326" i="1"/>
  <c r="BF326" i="1"/>
  <c r="AY334" i="1"/>
  <c r="AY358" i="1"/>
  <c r="BE374" i="1"/>
  <c r="K46" i="1"/>
  <c r="K80" i="1"/>
  <c r="K112" i="1"/>
  <c r="K302" i="1"/>
  <c r="K358" i="1"/>
  <c r="K390" i="1"/>
  <c r="K304" i="1"/>
  <c r="K336" i="1"/>
  <c r="K368" i="1"/>
  <c r="K144" i="1"/>
  <c r="K176" i="1"/>
  <c r="K208" i="1"/>
  <c r="K240" i="1"/>
  <c r="K272" i="1"/>
  <c r="BF62" i="1"/>
  <c r="BE86" i="1"/>
  <c r="AV118" i="1"/>
  <c r="BF126" i="1"/>
  <c r="AY134" i="1"/>
  <c r="N150" i="1"/>
  <c r="BE150" i="1"/>
  <c r="R166" i="1"/>
  <c r="Q166" i="1"/>
  <c r="AV182" i="1"/>
  <c r="BF190" i="1"/>
  <c r="AY198" i="1"/>
  <c r="BE214" i="1"/>
  <c r="BE238" i="1"/>
  <c r="BE262" i="1"/>
  <c r="R302" i="1"/>
  <c r="Q302" i="1"/>
  <c r="BF350" i="1"/>
  <c r="BF374" i="1"/>
  <c r="AY382" i="1"/>
  <c r="BF398" i="1"/>
  <c r="K291" i="1"/>
  <c r="Q333" i="1"/>
  <c r="R333" i="1"/>
  <c r="BF333" i="1"/>
  <c r="AY341" i="1"/>
  <c r="BE357" i="1"/>
  <c r="AV365" i="1"/>
  <c r="Q373" i="1"/>
  <c r="R373" i="1"/>
  <c r="AV389" i="1"/>
  <c r="N397" i="1"/>
  <c r="R22" i="1"/>
  <c r="Q22" i="1"/>
  <c r="BF22" i="1"/>
  <c r="AY30" i="1"/>
  <c r="BE46" i="1"/>
  <c r="R62" i="1"/>
  <c r="Q62" i="1"/>
  <c r="BF86" i="1"/>
  <c r="BE110" i="1"/>
  <c r="BF150" i="1"/>
  <c r="AY158" i="1"/>
  <c r="N174" i="1"/>
  <c r="BE174" i="1"/>
  <c r="R190" i="1"/>
  <c r="Q190" i="1"/>
  <c r="BF214" i="1"/>
  <c r="AY222" i="1"/>
  <c r="BF238" i="1"/>
  <c r="N262" i="1"/>
  <c r="BF262" i="1"/>
  <c r="BE286" i="1"/>
  <c r="BE310" i="1"/>
  <c r="BE334" i="1"/>
  <c r="R374" i="1"/>
  <c r="Q374" i="1"/>
  <c r="K189" i="1"/>
  <c r="BF357" i="1"/>
  <c r="BF381" i="1"/>
  <c r="AY389" i="1"/>
  <c r="AV38" i="1"/>
  <c r="BF46" i="1"/>
  <c r="AY54" i="1"/>
  <c r="N70" i="1"/>
  <c r="R86" i="1"/>
  <c r="Q86" i="1"/>
  <c r="AV102" i="1"/>
  <c r="BF110" i="1"/>
  <c r="N134" i="1"/>
  <c r="BE134" i="1"/>
  <c r="R150" i="1"/>
  <c r="Q150" i="1"/>
  <c r="BF174" i="1"/>
  <c r="BE198" i="1"/>
  <c r="R214" i="1"/>
  <c r="Q214" i="1"/>
  <c r="R238" i="1"/>
  <c r="Q238" i="1"/>
  <c r="Q262" i="1"/>
  <c r="R262" i="1"/>
  <c r="N286" i="1"/>
  <c r="BF286" i="1"/>
  <c r="N310" i="1"/>
  <c r="BF310" i="1"/>
  <c r="N334" i="1"/>
  <c r="BF334" i="1"/>
  <c r="N358" i="1"/>
  <c r="BF358" i="1"/>
  <c r="BE382" i="1"/>
  <c r="K130" i="1"/>
  <c r="K162" i="1"/>
  <c r="K194" i="1"/>
  <c r="K226" i="1"/>
  <c r="K258" i="1"/>
  <c r="K124" i="1"/>
  <c r="K314" i="1"/>
  <c r="BF70" i="1"/>
  <c r="BE94" i="1"/>
  <c r="R110" i="1"/>
  <c r="Q110" i="1"/>
  <c r="AV126" i="1"/>
  <c r="BF134" i="1"/>
  <c r="N158" i="1"/>
  <c r="BE158" i="1"/>
  <c r="AV166" i="1"/>
  <c r="R174" i="1"/>
  <c r="Q174" i="1"/>
  <c r="BF198" i="1"/>
  <c r="AY206" i="1"/>
  <c r="AY230" i="1"/>
  <c r="BE246" i="1"/>
  <c r="BE270" i="1"/>
  <c r="Q286" i="1"/>
  <c r="R286" i="1"/>
  <c r="BE294" i="1"/>
  <c r="AV302" i="1"/>
  <c r="Q310" i="1"/>
  <c r="R310" i="1"/>
  <c r="AV326" i="1"/>
  <c r="Q334" i="1"/>
  <c r="R334" i="1"/>
  <c r="N382" i="1"/>
  <c r="BF382" i="1"/>
  <c r="K30" i="1"/>
  <c r="K62" i="1"/>
  <c r="K96" i="1"/>
  <c r="K342" i="1"/>
  <c r="K374" i="1"/>
  <c r="K288" i="1"/>
  <c r="K320" i="1"/>
  <c r="K352" i="1"/>
  <c r="K384" i="1"/>
  <c r="K160" i="1"/>
  <c r="K192" i="1"/>
  <c r="BF30" i="1"/>
  <c r="AY38" i="1"/>
  <c r="N54" i="1"/>
  <c r="BE54" i="1"/>
  <c r="AV86" i="1"/>
  <c r="BF94" i="1"/>
  <c r="AY102" i="1"/>
  <c r="N118" i="1"/>
  <c r="BE118" i="1"/>
  <c r="Q134" i="1"/>
  <c r="R134" i="1"/>
  <c r="BF158" i="1"/>
  <c r="AY166" i="1"/>
  <c r="N182" i="1"/>
  <c r="BE182" i="1"/>
  <c r="Q198" i="1"/>
  <c r="R198" i="1"/>
  <c r="BF222" i="1"/>
  <c r="BF246" i="1"/>
  <c r="AY254" i="1"/>
  <c r="BF270" i="1"/>
  <c r="AY278" i="1"/>
  <c r="N294" i="1"/>
  <c r="BF294" i="1"/>
  <c r="AY302" i="1"/>
  <c r="BE318" i="1"/>
  <c r="AY326" i="1"/>
  <c r="BE342" i="1"/>
  <c r="BE366" i="1"/>
  <c r="Q382" i="1"/>
  <c r="R382" i="1"/>
  <c r="K317" i="1"/>
  <c r="K354" i="1"/>
  <c r="AV46" i="1"/>
  <c r="BF54" i="1"/>
  <c r="BE78" i="1"/>
  <c r="Q94" i="1"/>
  <c r="R94" i="1"/>
  <c r="BF118" i="1"/>
  <c r="AY126" i="1"/>
  <c r="BE142" i="1"/>
  <c r="Q158" i="1"/>
  <c r="R158" i="1"/>
  <c r="BF182" i="1"/>
  <c r="BE206" i="1"/>
  <c r="BE230" i="1"/>
  <c r="Q246" i="1"/>
  <c r="R246" i="1"/>
  <c r="Q270" i="1"/>
  <c r="R270" i="1"/>
  <c r="R294" i="1"/>
  <c r="Q294" i="1"/>
  <c r="BF318" i="1"/>
  <c r="BF342" i="1"/>
  <c r="BF366" i="1"/>
  <c r="N390" i="1"/>
  <c r="BF390" i="1"/>
  <c r="K315" i="1"/>
  <c r="K363" i="1"/>
  <c r="AY28" i="1"/>
  <c r="BF44" i="1"/>
  <c r="BE68" i="1"/>
  <c r="R84" i="1"/>
  <c r="Q84" i="1"/>
  <c r="BF108" i="1"/>
  <c r="BE116" i="1"/>
  <c r="BE132" i="1"/>
  <c r="R148" i="1"/>
  <c r="Q148" i="1"/>
  <c r="BF172" i="1"/>
  <c r="BE180" i="1"/>
  <c r="BF196" i="1"/>
  <c r="AY220" i="1"/>
  <c r="AV228" i="1"/>
  <c r="R236" i="1"/>
  <c r="Q236" i="1"/>
  <c r="AV252" i="1"/>
  <c r="R260" i="1"/>
  <c r="Q260" i="1"/>
  <c r="AY268" i="1"/>
  <c r="BE284" i="1"/>
  <c r="BF308" i="1"/>
  <c r="AY332" i="1"/>
  <c r="AV340" i="1"/>
  <c r="R348" i="1"/>
  <c r="Q348" i="1"/>
  <c r="BE372" i="1"/>
  <c r="BF396" i="1"/>
  <c r="K36" i="1"/>
  <c r="K68" i="1"/>
  <c r="BF45" i="1"/>
  <c r="BE69" i="1"/>
  <c r="N85" i="1"/>
  <c r="BF109" i="1"/>
  <c r="BF133" i="1"/>
  <c r="R149" i="1"/>
  <c r="Q149" i="1"/>
  <c r="BE157" i="1"/>
  <c r="AV165" i="1"/>
  <c r="Q173" i="1"/>
  <c r="R173" i="1"/>
  <c r="BF197" i="1"/>
  <c r="R213" i="1"/>
  <c r="Q213" i="1"/>
  <c r="BE221" i="1"/>
  <c r="AV229" i="1"/>
  <c r="Q237" i="1"/>
  <c r="R237" i="1"/>
  <c r="BF261" i="1"/>
  <c r="R277" i="1"/>
  <c r="Q277" i="1"/>
  <c r="BE285" i="1"/>
  <c r="AV293" i="1"/>
  <c r="Q301" i="1"/>
  <c r="R301" i="1"/>
  <c r="BF325" i="1"/>
  <c r="R341" i="1"/>
  <c r="Q341" i="1"/>
  <c r="BE349" i="1"/>
  <c r="AV357" i="1"/>
  <c r="N365" i="1"/>
  <c r="BE373" i="1"/>
  <c r="AV381" i="1"/>
  <c r="N389" i="1"/>
  <c r="Q30" i="1"/>
  <c r="R30" i="1"/>
  <c r="R38" i="1"/>
  <c r="Q38" i="1"/>
  <c r="BE38" i="1"/>
  <c r="Q54" i="1"/>
  <c r="R54" i="1"/>
  <c r="BF78" i="1"/>
  <c r="Q118" i="1"/>
  <c r="R118" i="1"/>
  <c r="BF142" i="1"/>
  <c r="N166" i="1"/>
  <c r="BE166" i="1"/>
  <c r="AV174" i="1"/>
  <c r="Q182" i="1"/>
  <c r="R182" i="1"/>
  <c r="BF206" i="1"/>
  <c r="AY214" i="1"/>
  <c r="N230" i="1"/>
  <c r="BF230" i="1"/>
  <c r="AV286" i="1"/>
  <c r="BE302" i="1"/>
  <c r="AV310" i="1"/>
  <c r="R318" i="1"/>
  <c r="Q318" i="1"/>
  <c r="AV334" i="1"/>
  <c r="R342" i="1"/>
  <c r="Q342" i="1"/>
  <c r="AV358" i="1"/>
  <c r="R366" i="1"/>
  <c r="Q366" i="1"/>
  <c r="K146" i="1"/>
  <c r="K178" i="1"/>
  <c r="K210" i="1"/>
  <c r="K242" i="1"/>
  <c r="K274" i="1"/>
  <c r="AG206" i="1" l="1"/>
  <c r="AB206" i="1" s="1"/>
  <c r="AG396" i="1"/>
  <c r="AB396" i="1" s="1"/>
  <c r="AG20" i="1"/>
  <c r="AB20" i="1" s="1"/>
  <c r="AG214" i="1"/>
  <c r="AB214" i="1" s="1"/>
  <c r="AG377" i="1"/>
  <c r="AB377" i="1" s="1"/>
  <c r="AG398" i="1"/>
  <c r="AB398" i="1" s="1"/>
  <c r="AG333" i="1"/>
  <c r="AB333" i="1" s="1"/>
  <c r="AG189" i="1"/>
  <c r="AB189" i="1" s="1"/>
  <c r="AG394" i="1"/>
  <c r="AB394" i="1" s="1"/>
  <c r="AG389" i="1"/>
  <c r="AB389" i="1" s="1"/>
  <c r="AG383" i="1"/>
  <c r="AB383" i="1" s="1"/>
  <c r="AG334" i="1"/>
  <c r="AB334" i="1" s="1"/>
  <c r="AG384" i="1"/>
  <c r="AB384" i="1" s="1"/>
  <c r="AG370" i="1"/>
  <c r="AB370" i="1" s="1"/>
  <c r="AG185" i="1"/>
  <c r="AB185" i="1" s="1"/>
  <c r="AG60" i="1"/>
  <c r="AB60" i="1" s="1"/>
  <c r="AG184" i="1"/>
  <c r="AB184" i="1" s="1"/>
  <c r="B6" i="105" l="1"/>
  <c r="B5" i="105" s="1"/>
  <c r="BE280" i="1" l="1"/>
  <c r="BE271" i="1"/>
  <c r="BE39" i="1"/>
  <c r="BE278" i="1"/>
  <c r="BE227" i="1"/>
  <c r="BE397" i="1"/>
  <c r="BE388" i="1"/>
  <c r="BE393" i="1"/>
  <c r="BE185" i="1"/>
  <c r="BE395" i="1"/>
  <c r="BE155" i="1"/>
  <c r="BE392" i="1"/>
  <c r="BE266" i="1"/>
  <c r="BE384" i="1"/>
  <c r="BE353" i="1"/>
  <c r="BE74" i="1"/>
  <c r="BE273" i="1"/>
  <c r="BE192" i="1"/>
  <c r="BE79" i="1"/>
  <c r="BE179" i="1"/>
  <c r="BE254" i="1"/>
  <c r="BE381" i="1"/>
  <c r="BE244" i="1"/>
  <c r="BE377" i="1"/>
  <c r="BE184" i="1"/>
  <c r="BE251" i="1"/>
  <c r="BE47" i="1"/>
  <c r="BE222" i="1"/>
  <c r="BE389" i="1"/>
  <c r="BE309" i="1"/>
  <c r="BE228" i="1"/>
  <c r="BE225" i="1"/>
  <c r="BE152" i="1"/>
  <c r="BE99" i="1"/>
  <c r="BE398" i="1"/>
  <c r="BE126" i="1"/>
  <c r="BE229" i="1"/>
  <c r="BE269" i="1"/>
  <c r="BE100" i="1"/>
  <c r="BE209" i="1"/>
  <c r="BE390" i="1"/>
  <c r="BE102" i="1"/>
  <c r="BE181" i="1"/>
  <c r="BE253" i="1"/>
  <c r="AC76" i="1"/>
  <c r="AE76" i="1" s="1"/>
  <c r="AG76" i="1" s="1"/>
  <c r="AB76" i="1" s="1"/>
  <c r="BE76" i="1"/>
  <c r="BE394" i="1"/>
  <c r="BE358" i="1"/>
  <c r="BE70" i="1"/>
  <c r="BE133" i="1"/>
  <c r="BE205" i="1"/>
  <c r="BE282" i="1"/>
  <c r="BE350" i="1"/>
  <c r="BE117" i="1"/>
  <c r="BE189" i="1"/>
  <c r="BE98" i="1"/>
  <c r="BE391" i="1"/>
  <c r="BE207" i="1"/>
  <c r="BE326" i="1"/>
  <c r="BE387" i="1"/>
  <c r="AW4" i="1"/>
  <c r="BG4" i="1"/>
  <c r="M4" i="1"/>
  <c r="J4" i="1"/>
  <c r="L4" i="1"/>
  <c r="I4" i="1"/>
  <c r="Q358" i="1" l="1"/>
  <c r="R358" i="1"/>
  <c r="Q244" i="1"/>
  <c r="R244" i="1"/>
  <c r="Q207" i="1"/>
  <c r="R207" i="1"/>
  <c r="R391" i="1"/>
  <c r="Q391" i="1"/>
  <c r="AC387" i="1"/>
  <c r="AE387" i="1" s="1"/>
  <c r="R387" i="1"/>
  <c r="Q387" i="1"/>
  <c r="Q98" i="1"/>
  <c r="R98" i="1"/>
  <c r="R70" i="1"/>
  <c r="Q70" i="1"/>
  <c r="Q253" i="1"/>
  <c r="R253" i="1"/>
  <c r="Q209" i="1"/>
  <c r="R209" i="1"/>
  <c r="Q126" i="1"/>
  <c r="R126" i="1"/>
  <c r="Q225" i="1"/>
  <c r="R225" i="1"/>
  <c r="Q222" i="1"/>
  <c r="R222" i="1"/>
  <c r="R377" i="1"/>
  <c r="Q377" i="1"/>
  <c r="Q326" i="1"/>
  <c r="R326" i="1"/>
  <c r="R117" i="1"/>
  <c r="Q117" i="1"/>
  <c r="R179" i="1"/>
  <c r="Q179" i="1"/>
  <c r="AC74" i="1"/>
  <c r="AE74" i="1" s="1"/>
  <c r="AG74" i="1" s="1"/>
  <c r="AB74" i="1" s="1"/>
  <c r="R74" i="1"/>
  <c r="Q74" i="1"/>
  <c r="R392" i="1"/>
  <c r="Q392" i="1"/>
  <c r="R393" i="1"/>
  <c r="Q393" i="1"/>
  <c r="R278" i="1"/>
  <c r="Q278" i="1"/>
  <c r="R228" i="1"/>
  <c r="Q228" i="1"/>
  <c r="R79" i="1"/>
  <c r="Q79" i="1"/>
  <c r="R353" i="1"/>
  <c r="Q353" i="1"/>
  <c r="R155" i="1"/>
  <c r="Q155" i="1"/>
  <c r="Q388" i="1"/>
  <c r="R388" i="1"/>
  <c r="R39" i="1"/>
  <c r="Q39" i="1"/>
  <c r="R398" i="1"/>
  <c r="Q398" i="1"/>
  <c r="Q205" i="1"/>
  <c r="R205" i="1"/>
  <c r="Q394" i="1"/>
  <c r="R394" i="1"/>
  <c r="Q102" i="1"/>
  <c r="R102" i="1"/>
  <c r="Q269" i="1"/>
  <c r="R269" i="1"/>
  <c r="R99" i="1"/>
  <c r="Q99" i="1"/>
  <c r="R309" i="1"/>
  <c r="Q309" i="1"/>
  <c r="R251" i="1"/>
  <c r="Q251" i="1"/>
  <c r="AC381" i="1"/>
  <c r="AE381" i="1" s="1"/>
  <c r="AG381" i="1" s="1"/>
  <c r="AB381" i="1" s="1"/>
  <c r="Q381" i="1"/>
  <c r="R381" i="1"/>
  <c r="Q181" i="1"/>
  <c r="R181" i="1"/>
  <c r="R192" i="1"/>
  <c r="Q192" i="1"/>
  <c r="R384" i="1"/>
  <c r="Q384" i="1"/>
  <c r="Q395" i="1"/>
  <c r="R395" i="1"/>
  <c r="R397" i="1"/>
  <c r="Q397" i="1"/>
  <c r="Q271" i="1"/>
  <c r="R271" i="1"/>
  <c r="Q189" i="1"/>
  <c r="R189" i="1"/>
  <c r="R100" i="1"/>
  <c r="Q100" i="1"/>
  <c r="R47" i="1"/>
  <c r="Q47" i="1"/>
  <c r="R350" i="1"/>
  <c r="Q350" i="1"/>
  <c r="Q133" i="1"/>
  <c r="R133" i="1"/>
  <c r="R76" i="1"/>
  <c r="Q76" i="1"/>
  <c r="Q390" i="1"/>
  <c r="R390" i="1"/>
  <c r="R229" i="1"/>
  <c r="Q229" i="1"/>
  <c r="R152" i="1"/>
  <c r="Q152" i="1"/>
  <c r="R389" i="1"/>
  <c r="Q389" i="1"/>
  <c r="Q184" i="1"/>
  <c r="R184" i="1"/>
  <c r="Q282" i="1"/>
  <c r="R282" i="1"/>
  <c r="R254" i="1"/>
  <c r="Q254" i="1"/>
  <c r="R273" i="1"/>
  <c r="Q273" i="1"/>
  <c r="R266" i="1"/>
  <c r="Q266" i="1"/>
  <c r="R185" i="1"/>
  <c r="Q185" i="1"/>
  <c r="R227" i="1"/>
  <c r="Q227" i="1"/>
  <c r="R280" i="1"/>
  <c r="Q280" i="1"/>
  <c r="H7" i="1" l="1"/>
  <c r="H6" i="1"/>
  <c r="H8" i="1"/>
  <c r="H9" i="1"/>
  <c r="H10" i="1"/>
  <c r="H11" i="1"/>
  <c r="H12" i="1"/>
  <c r="H13" i="1"/>
  <c r="H14" i="1"/>
  <c r="H15" i="1"/>
  <c r="H16" i="1"/>
  <c r="H17" i="1"/>
  <c r="H18" i="1"/>
  <c r="I515" i="83"/>
  <c r="J515" i="83"/>
  <c r="J559" i="83"/>
  <c r="K559" i="83" s="1"/>
  <c r="L9" i="83"/>
  <c r="L546" i="83"/>
  <c r="M546" i="83" s="1"/>
  <c r="K546" i="83"/>
  <c r="L28" i="83"/>
  <c r="M28" i="83" s="1"/>
  <c r="L41" i="83"/>
  <c r="L45" i="83"/>
  <c r="M45" i="83" s="1"/>
  <c r="K45" i="83"/>
  <c r="L46" i="83"/>
  <c r="M46" i="83" s="1"/>
  <c r="K46" i="83"/>
  <c r="L71" i="83"/>
  <c r="L79" i="83"/>
  <c r="M79" i="83" s="1"/>
  <c r="K79" i="83"/>
  <c r="L82" i="83"/>
  <c r="L95" i="83"/>
  <c r="M95" i="83" s="1"/>
  <c r="K95" i="83"/>
  <c r="L100" i="83"/>
  <c r="M100" i="83" s="1"/>
  <c r="L109" i="83"/>
  <c r="K109" i="83"/>
  <c r="L110" i="83"/>
  <c r="L115" i="83"/>
  <c r="M115" i="83" s="1"/>
  <c r="K115" i="83"/>
  <c r="L118" i="83"/>
  <c r="M118" i="83" s="1"/>
  <c r="K118" i="83"/>
  <c r="L158" i="83"/>
  <c r="M158" i="83" s="1"/>
  <c r="L161" i="83"/>
  <c r="L162" i="83"/>
  <c r="L166" i="83"/>
  <c r="L169" i="83"/>
  <c r="M169" i="83" s="1"/>
  <c r="L176" i="83"/>
  <c r="L194" i="83"/>
  <c r="L239" i="83"/>
  <c r="L271" i="83"/>
  <c r="M271" i="83" s="1"/>
  <c r="L290" i="83"/>
  <c r="K290" i="83"/>
  <c r="L306" i="83"/>
  <c r="K306" i="83"/>
  <c r="L311" i="83"/>
  <c r="M311" i="83" s="1"/>
  <c r="K141" i="83"/>
  <c r="L348" i="83"/>
  <c r="L379" i="83"/>
  <c r="M379" i="83" s="1"/>
  <c r="L382" i="83"/>
  <c r="L384" i="83"/>
  <c r="L398" i="83"/>
  <c r="K398" i="83"/>
  <c r="L408" i="83"/>
  <c r="M408" i="83" s="1"/>
  <c r="K408" i="83"/>
  <c r="L289" i="83"/>
  <c r="L441" i="83"/>
  <c r="M441" i="83" s="1"/>
  <c r="K441" i="83"/>
  <c r="L471" i="83"/>
  <c r="L514" i="83"/>
  <c r="K514" i="83"/>
  <c r="L354" i="83"/>
  <c r="M354" i="83" s="1"/>
  <c r="K354" i="83"/>
  <c r="L524" i="83"/>
  <c r="K524" i="83"/>
  <c r="L533" i="83"/>
  <c r="K533" i="83"/>
  <c r="L536" i="83"/>
  <c r="K536" i="83"/>
  <c r="L299" i="83"/>
  <c r="L552" i="83"/>
  <c r="L225" i="83"/>
  <c r="M225" i="83" s="1"/>
  <c r="L564" i="83"/>
  <c r="M564" i="83" s="1"/>
  <c r="K564" i="83"/>
  <c r="K3" i="83"/>
  <c r="K4" i="83"/>
  <c r="K5" i="83"/>
  <c r="K6" i="83"/>
  <c r="K7" i="83"/>
  <c r="K9" i="83"/>
  <c r="K10" i="83"/>
  <c r="K11" i="83"/>
  <c r="K12" i="83"/>
  <c r="K13" i="83"/>
  <c r="K14" i="83"/>
  <c r="K15" i="83"/>
  <c r="K16" i="83"/>
  <c r="K17" i="83"/>
  <c r="K18" i="83"/>
  <c r="K19" i="83"/>
  <c r="K20" i="83"/>
  <c r="K21" i="83"/>
  <c r="K22" i="83"/>
  <c r="K23" i="83"/>
  <c r="K25" i="83"/>
  <c r="K26" i="83"/>
  <c r="K27" i="83"/>
  <c r="K28" i="83"/>
  <c r="K29" i="83"/>
  <c r="K30" i="83"/>
  <c r="K31" i="83"/>
  <c r="K32" i="83"/>
  <c r="K33" i="83"/>
  <c r="K34" i="83"/>
  <c r="K35" i="83"/>
  <c r="K36" i="83"/>
  <c r="K37" i="83"/>
  <c r="K38" i="83"/>
  <c r="K39" i="83"/>
  <c r="K40" i="83"/>
  <c r="K41" i="83"/>
  <c r="K42" i="83"/>
  <c r="K43" i="83"/>
  <c r="K44" i="83"/>
  <c r="K47" i="83"/>
  <c r="K48" i="83"/>
  <c r="K49" i="83"/>
  <c r="K50" i="83"/>
  <c r="K51" i="83"/>
  <c r="K52" i="83"/>
  <c r="K53" i="83"/>
  <c r="K54" i="83"/>
  <c r="K55" i="83"/>
  <c r="K56" i="83"/>
  <c r="K57" i="83"/>
  <c r="K58" i="83"/>
  <c r="K59" i="83"/>
  <c r="K60" i="83"/>
  <c r="K61" i="83"/>
  <c r="K62" i="83"/>
  <c r="K63" i="83"/>
  <c r="K64" i="83"/>
  <c r="K65" i="83"/>
  <c r="K66" i="83"/>
  <c r="K67" i="83"/>
  <c r="K68" i="83"/>
  <c r="K69" i="83"/>
  <c r="K70" i="83"/>
  <c r="K71" i="83"/>
  <c r="K72" i="83"/>
  <c r="K73" i="83"/>
  <c r="K74" i="83"/>
  <c r="K75" i="83"/>
  <c r="K76" i="83"/>
  <c r="K77" i="83"/>
  <c r="K78" i="83"/>
  <c r="K80" i="83"/>
  <c r="K81" i="83"/>
  <c r="K82" i="83"/>
  <c r="K83" i="83"/>
  <c r="K84" i="83"/>
  <c r="K85" i="83"/>
  <c r="K86" i="83"/>
  <c r="K87" i="83"/>
  <c r="K88" i="83"/>
  <c r="K89" i="83"/>
  <c r="K90" i="83"/>
  <c r="K91" i="83"/>
  <c r="K92" i="83"/>
  <c r="K93" i="83"/>
  <c r="K94" i="83"/>
  <c r="K96" i="83"/>
  <c r="K97" i="83"/>
  <c r="K98" i="83"/>
  <c r="K99" i="83"/>
  <c r="K100" i="83"/>
  <c r="K101" i="83"/>
  <c r="K102" i="83"/>
  <c r="K103" i="83"/>
  <c r="K104" i="83"/>
  <c r="K105" i="83"/>
  <c r="K106" i="83"/>
  <c r="K107" i="83"/>
  <c r="K108" i="83"/>
  <c r="K110" i="83"/>
  <c r="K111" i="83"/>
  <c r="K112" i="83"/>
  <c r="K113" i="83"/>
  <c r="K114" i="83"/>
  <c r="K116" i="83"/>
  <c r="K117" i="83"/>
  <c r="K119" i="83"/>
  <c r="K120" i="83"/>
  <c r="K121" i="83"/>
  <c r="K122" i="83"/>
  <c r="K123" i="83"/>
  <c r="K124" i="83"/>
  <c r="K125" i="83"/>
  <c r="K126" i="83"/>
  <c r="K127" i="83"/>
  <c r="K128" i="83"/>
  <c r="K129" i="83"/>
  <c r="K130" i="83"/>
  <c r="K131" i="83"/>
  <c r="K132" i="83"/>
  <c r="K133" i="83"/>
  <c r="K134" i="83"/>
  <c r="K135" i="83"/>
  <c r="K136" i="83"/>
  <c r="K137" i="83"/>
  <c r="K435" i="83"/>
  <c r="K139" i="83"/>
  <c r="K140" i="83"/>
  <c r="K468" i="83"/>
  <c r="K142" i="83"/>
  <c r="K143" i="83"/>
  <c r="K144" i="83"/>
  <c r="K145" i="83"/>
  <c r="K146" i="83"/>
  <c r="K147" i="83"/>
  <c r="K148" i="83"/>
  <c r="K149" i="83"/>
  <c r="K150" i="83"/>
  <c r="K151" i="83"/>
  <c r="K152" i="83"/>
  <c r="K153" i="83"/>
  <c r="K154" i="83"/>
  <c r="K155" i="83"/>
  <c r="K156" i="83"/>
  <c r="K157" i="83"/>
  <c r="K158" i="83"/>
  <c r="K159" i="83"/>
  <c r="K160" i="83"/>
  <c r="K161" i="83"/>
  <c r="K162" i="83"/>
  <c r="K163" i="83"/>
  <c r="K164" i="83"/>
  <c r="K165" i="83"/>
  <c r="K166" i="83"/>
  <c r="K167" i="83"/>
  <c r="K168" i="83"/>
  <c r="K169" i="83"/>
  <c r="K170" i="83"/>
  <c r="K171" i="83"/>
  <c r="K172" i="83"/>
  <c r="K173" i="83"/>
  <c r="K174" i="83"/>
  <c r="K175" i="83"/>
  <c r="K176" i="83"/>
  <c r="K177" i="83"/>
  <c r="K178" i="83"/>
  <c r="K179" i="83"/>
  <c r="K180" i="83"/>
  <c r="K181" i="83"/>
  <c r="K182" i="83"/>
  <c r="K183" i="83"/>
  <c r="K184" i="83"/>
  <c r="K185" i="83"/>
  <c r="K186" i="83"/>
  <c r="K187" i="83"/>
  <c r="K188" i="83"/>
  <c r="K189" i="83"/>
  <c r="K190" i="83"/>
  <c r="K191" i="83"/>
  <c r="K192" i="83"/>
  <c r="K193" i="83"/>
  <c r="K194" i="83"/>
  <c r="K195" i="83"/>
  <c r="K196" i="83"/>
  <c r="K197" i="83"/>
  <c r="K198" i="83"/>
  <c r="K199" i="83"/>
  <c r="K200" i="83"/>
  <c r="K201" i="83"/>
  <c r="K202" i="83"/>
  <c r="K203" i="83"/>
  <c r="K204" i="83"/>
  <c r="K205" i="83"/>
  <c r="K206" i="83"/>
  <c r="K207" i="83"/>
  <c r="K208" i="83"/>
  <c r="K209" i="83"/>
  <c r="K210" i="83"/>
  <c r="K211" i="83"/>
  <c r="K212" i="83"/>
  <c r="K213" i="83"/>
  <c r="K214" i="83"/>
  <c r="K215" i="83"/>
  <c r="K216" i="83"/>
  <c r="K217" i="83"/>
  <c r="K218" i="83"/>
  <c r="K219" i="83"/>
  <c r="K220" i="83"/>
  <c r="K221" i="83"/>
  <c r="K222" i="83"/>
  <c r="K223" i="83"/>
  <c r="K224" i="83"/>
  <c r="K319" i="83"/>
  <c r="K226" i="83"/>
  <c r="K227" i="83"/>
  <c r="K228" i="83"/>
  <c r="K229" i="83"/>
  <c r="K230" i="83"/>
  <c r="K231" i="83"/>
  <c r="K232" i="83"/>
  <c r="K233" i="83"/>
  <c r="K234" i="83"/>
  <c r="K235" i="83"/>
  <c r="K236" i="83"/>
  <c r="K237" i="83"/>
  <c r="K238" i="83"/>
  <c r="K239" i="83"/>
  <c r="K240" i="83"/>
  <c r="K241" i="83"/>
  <c r="K242" i="83"/>
  <c r="K243" i="83"/>
  <c r="K244" i="83"/>
  <c r="K245" i="83"/>
  <c r="K246" i="83"/>
  <c r="K247" i="83"/>
  <c r="K248" i="83"/>
  <c r="K249" i="83"/>
  <c r="K250" i="83"/>
  <c r="K251" i="83"/>
  <c r="K252" i="83"/>
  <c r="K253" i="83"/>
  <c r="K254" i="83"/>
  <c r="K255" i="83"/>
  <c r="K256" i="83"/>
  <c r="K257" i="83"/>
  <c r="K258" i="83"/>
  <c r="K259" i="83"/>
  <c r="K260" i="83"/>
  <c r="K261" i="83"/>
  <c r="K262" i="83"/>
  <c r="K263" i="83"/>
  <c r="K560" i="83"/>
  <c r="K265" i="83"/>
  <c r="K266" i="83"/>
  <c r="K267" i="83"/>
  <c r="K268" i="83"/>
  <c r="K269" i="83"/>
  <c r="K270" i="83"/>
  <c r="K271" i="83"/>
  <c r="K272" i="83"/>
  <c r="K273" i="83"/>
  <c r="K274" i="83"/>
  <c r="K275" i="83"/>
  <c r="K276" i="83"/>
  <c r="K277" i="83"/>
  <c r="K278" i="83"/>
  <c r="K279" i="83"/>
  <c r="K280" i="83"/>
  <c r="K281" i="83"/>
  <c r="K282" i="83"/>
  <c r="K283" i="83"/>
  <c r="K284" i="83"/>
  <c r="K285" i="83"/>
  <c r="K286" i="83"/>
  <c r="K287" i="83"/>
  <c r="K288" i="83"/>
  <c r="K24" i="83"/>
  <c r="K291" i="83"/>
  <c r="K292" i="83"/>
  <c r="K293" i="83"/>
  <c r="K294" i="83"/>
  <c r="K296" i="83"/>
  <c r="K297" i="83"/>
  <c r="K298" i="83"/>
  <c r="K300" i="83"/>
  <c r="K301" i="83"/>
  <c r="K302" i="83"/>
  <c r="K303" i="83"/>
  <c r="K304" i="83"/>
  <c r="K305" i="83"/>
  <c r="K307" i="83"/>
  <c r="K308" i="83"/>
  <c r="K309" i="83"/>
  <c r="K310" i="83"/>
  <c r="K311" i="83"/>
  <c r="K312" i="83"/>
  <c r="K313" i="83"/>
  <c r="K314" i="83"/>
  <c r="K315" i="83"/>
  <c r="K316" i="83"/>
  <c r="K317" i="83"/>
  <c r="K318" i="83"/>
  <c r="K320" i="83"/>
  <c r="K321" i="83"/>
  <c r="K322" i="83"/>
  <c r="K323" i="83"/>
  <c r="K324" i="83"/>
  <c r="K325" i="83"/>
  <c r="K326" i="83"/>
  <c r="K327" i="83"/>
  <c r="K328" i="83"/>
  <c r="K329" i="83"/>
  <c r="K330" i="83"/>
  <c r="K331" i="83"/>
  <c r="K332" i="83"/>
  <c r="K333" i="83"/>
  <c r="K334" i="83"/>
  <c r="K335" i="83"/>
  <c r="K336" i="83"/>
  <c r="K337" i="83"/>
  <c r="K338" i="83"/>
  <c r="K339" i="83"/>
  <c r="K340" i="83"/>
  <c r="K341" i="83"/>
  <c r="K342" i="83"/>
  <c r="K343" i="83"/>
  <c r="K344" i="83"/>
  <c r="K345" i="83"/>
  <c r="K346" i="83"/>
  <c r="K347" i="83"/>
  <c r="K348" i="83"/>
  <c r="K349" i="83"/>
  <c r="K350" i="83"/>
  <c r="K351" i="83"/>
  <c r="K352" i="83"/>
  <c r="K353" i="83"/>
  <c r="K138" i="83"/>
  <c r="K355" i="83"/>
  <c r="K356" i="83"/>
  <c r="K357" i="83"/>
  <c r="K358" i="83"/>
  <c r="K359" i="83"/>
  <c r="K360" i="83"/>
  <c r="K361" i="83"/>
  <c r="K362" i="83"/>
  <c r="K363" i="83"/>
  <c r="K364" i="83"/>
  <c r="K365" i="83"/>
  <c r="K366" i="83"/>
  <c r="K367" i="83"/>
  <c r="K368" i="83"/>
  <c r="K369" i="83"/>
  <c r="K370" i="83"/>
  <c r="K371" i="83"/>
  <c r="K372" i="83"/>
  <c r="K373" i="83"/>
  <c r="K374" i="83"/>
  <c r="K295" i="83"/>
  <c r="K375" i="83"/>
  <c r="K376" i="83"/>
  <c r="K377" i="83"/>
  <c r="K378" i="83"/>
  <c r="K379" i="83"/>
  <c r="K380" i="83"/>
  <c r="K381" i="83"/>
  <c r="K382" i="83"/>
  <c r="K383" i="83"/>
  <c r="K384" i="83"/>
  <c r="K385" i="83"/>
  <c r="K386" i="83"/>
  <c r="K387" i="83"/>
  <c r="K388" i="83"/>
  <c r="K389" i="83"/>
  <c r="K390" i="83"/>
  <c r="K391" i="83"/>
  <c r="K392" i="83"/>
  <c r="K393" i="83"/>
  <c r="K394" i="83"/>
  <c r="K395" i="83"/>
  <c r="K396" i="83"/>
  <c r="K397" i="83"/>
  <c r="K399" i="83"/>
  <c r="K400" i="83"/>
  <c r="K401" i="83"/>
  <c r="K402" i="83"/>
  <c r="K403" i="83"/>
  <c r="K404" i="83"/>
  <c r="K405" i="83"/>
  <c r="K406" i="83"/>
  <c r="K407" i="83"/>
  <c r="K409" i="83"/>
  <c r="K410" i="83"/>
  <c r="K411" i="83"/>
  <c r="K412" i="83"/>
  <c r="K413" i="83"/>
  <c r="K414" i="83"/>
  <c r="K415" i="83"/>
  <c r="K416" i="83"/>
  <c r="K417" i="83"/>
  <c r="K418" i="83"/>
  <c r="K419" i="83"/>
  <c r="K420" i="83"/>
  <c r="K421" i="83"/>
  <c r="K422" i="83"/>
  <c r="K423" i="83"/>
  <c r="K424" i="83"/>
  <c r="K425" i="83"/>
  <c r="K426" i="83"/>
  <c r="K427" i="83"/>
  <c r="K428" i="83"/>
  <c r="K429" i="83"/>
  <c r="K430" i="83"/>
  <c r="K431" i="83"/>
  <c r="K432" i="83"/>
  <c r="K433" i="83"/>
  <c r="K434" i="83"/>
  <c r="K289" i="83"/>
  <c r="K436" i="83"/>
  <c r="K437" i="83"/>
  <c r="K438" i="83"/>
  <c r="K439" i="83"/>
  <c r="K440" i="83"/>
  <c r="K442" i="83"/>
  <c r="K443" i="83"/>
  <c r="K444" i="83"/>
  <c r="K445" i="83"/>
  <c r="K446" i="83"/>
  <c r="K447" i="83"/>
  <c r="K448" i="83"/>
  <c r="K449" i="83"/>
  <c r="K450" i="83"/>
  <c r="K451" i="83"/>
  <c r="K452" i="83"/>
  <c r="K453" i="83"/>
  <c r="K454" i="83"/>
  <c r="K455" i="83"/>
  <c r="K456" i="83"/>
  <c r="K457" i="83"/>
  <c r="K458" i="83"/>
  <c r="K459" i="83"/>
  <c r="K460" i="83"/>
  <c r="K461" i="83"/>
  <c r="K462" i="83"/>
  <c r="K463" i="83"/>
  <c r="K464" i="83"/>
  <c r="K465" i="83"/>
  <c r="K466" i="83"/>
  <c r="K467" i="83"/>
  <c r="K8" i="83"/>
  <c r="K469" i="83"/>
  <c r="K470" i="83"/>
  <c r="K471" i="83"/>
  <c r="K472" i="83"/>
  <c r="K473" i="83"/>
  <c r="K474" i="83"/>
  <c r="K475" i="83"/>
  <c r="K476" i="83"/>
  <c r="K477" i="83"/>
  <c r="K478" i="83"/>
  <c r="K479" i="83"/>
  <c r="K480" i="83"/>
  <c r="K481" i="83"/>
  <c r="K482" i="83"/>
  <c r="K483" i="83"/>
  <c r="K484" i="83"/>
  <c r="K485" i="83"/>
  <c r="K486" i="83"/>
  <c r="K487" i="83"/>
  <c r="K488" i="83"/>
  <c r="K489" i="83"/>
  <c r="K490" i="83"/>
  <c r="K491" i="83"/>
  <c r="K492" i="83"/>
  <c r="K493" i="83"/>
  <c r="K494" i="83"/>
  <c r="K495" i="83"/>
  <c r="K496" i="83"/>
  <c r="K497" i="83"/>
  <c r="K498" i="83"/>
  <c r="K499" i="83"/>
  <c r="K500" i="83"/>
  <c r="K501" i="83"/>
  <c r="K502" i="83"/>
  <c r="K503" i="83"/>
  <c r="K504" i="83"/>
  <c r="K505" i="83"/>
  <c r="K506" i="83"/>
  <c r="K507" i="83"/>
  <c r="K508" i="83"/>
  <c r="K509" i="83"/>
  <c r="K510" i="83"/>
  <c r="K511" i="83"/>
  <c r="K512" i="83"/>
  <c r="K513" i="83"/>
  <c r="K516" i="83"/>
  <c r="K517" i="83"/>
  <c r="K518" i="83"/>
  <c r="K519" i="83"/>
  <c r="K520" i="83"/>
  <c r="K521" i="83"/>
  <c r="K522" i="83"/>
  <c r="K523" i="83"/>
  <c r="K525" i="83"/>
  <c r="K526" i="83"/>
  <c r="K527" i="83"/>
  <c r="K528" i="83"/>
  <c r="K529" i="83"/>
  <c r="K530" i="83"/>
  <c r="K531" i="83"/>
  <c r="K532" i="83"/>
  <c r="K534" i="83"/>
  <c r="K535" i="83"/>
  <c r="K537" i="83"/>
  <c r="K538" i="83"/>
  <c r="K539" i="83"/>
  <c r="K540" i="83"/>
  <c r="K541" i="83"/>
  <c r="K542" i="83"/>
  <c r="K543" i="83"/>
  <c r="K544" i="83"/>
  <c r="K545" i="83"/>
  <c r="K299" i="83"/>
  <c r="K547" i="83"/>
  <c r="K548" i="83"/>
  <c r="K549" i="83"/>
  <c r="K550" i="83"/>
  <c r="K551" i="83"/>
  <c r="K552" i="83"/>
  <c r="K553" i="83"/>
  <c r="K554" i="83"/>
  <c r="K555" i="83"/>
  <c r="K556" i="83"/>
  <c r="K557" i="83"/>
  <c r="K558" i="83"/>
  <c r="K225" i="83"/>
  <c r="K264" i="83"/>
  <c r="K561" i="83"/>
  <c r="K562" i="83"/>
  <c r="K563" i="83"/>
  <c r="K565" i="83"/>
  <c r="K566" i="83"/>
  <c r="K567" i="83"/>
  <c r="K568" i="83"/>
  <c r="K569" i="83"/>
  <c r="K570" i="83"/>
  <c r="K571" i="83"/>
  <c r="K572" i="83"/>
  <c r="K573" i="83"/>
  <c r="K574" i="83"/>
  <c r="K575" i="83"/>
  <c r="K576" i="83"/>
  <c r="K577" i="83"/>
  <c r="K578" i="83"/>
  <c r="K579" i="83"/>
  <c r="K580" i="83"/>
  <c r="K581" i="83"/>
  <c r="K582" i="83"/>
  <c r="K583" i="83"/>
  <c r="K2" i="83"/>
  <c r="K584" i="83"/>
  <c r="L336" i="83"/>
  <c r="M336" i="83" s="1"/>
  <c r="L576" i="83"/>
  <c r="M576" i="83" s="1"/>
  <c r="L145" i="83"/>
  <c r="M145" i="83" s="1"/>
  <c r="L469" i="83"/>
  <c r="M469" i="83" s="1"/>
  <c r="L15" i="83"/>
  <c r="M15" i="83" s="1"/>
  <c r="L550" i="83"/>
  <c r="M550" i="83" s="1"/>
  <c r="L186" i="83"/>
  <c r="L180" i="83"/>
  <c r="M180" i="83" s="1"/>
  <c r="L252" i="83"/>
  <c r="M252" i="83" s="1"/>
  <c r="L578" i="83"/>
  <c r="L338" i="83"/>
  <c r="L131" i="83"/>
  <c r="M131" i="83" s="1"/>
  <c r="L462" i="83"/>
  <c r="M462" i="83" s="1"/>
  <c r="L129" i="83"/>
  <c r="L439" i="83"/>
  <c r="L409" i="83"/>
  <c r="M409" i="83" s="1"/>
  <c r="L26" i="83"/>
  <c r="M26" i="83" s="1"/>
  <c r="L122" i="83"/>
  <c r="L254" i="83"/>
  <c r="L196" i="83"/>
  <c r="M196" i="83" s="1"/>
  <c r="L208" i="83"/>
  <c r="M208" i="83" s="1"/>
  <c r="L475" i="83"/>
  <c r="L248" i="83"/>
  <c r="L393" i="83"/>
  <c r="L60" i="83"/>
  <c r="M60" i="83" s="1"/>
  <c r="L435" i="83"/>
  <c r="L160" i="83"/>
  <c r="M160" i="83" s="1"/>
  <c r="L126" i="83"/>
  <c r="L287" i="83"/>
  <c r="M287" i="83" s="1"/>
  <c r="L388" i="83"/>
  <c r="L383" i="83"/>
  <c r="M383" i="83" s="1"/>
  <c r="L235" i="83"/>
  <c r="M235" i="83" s="1"/>
  <c r="L575" i="83"/>
  <c r="M575" i="83" s="1"/>
  <c r="L276" i="83"/>
  <c r="M276" i="83" s="1"/>
  <c r="L150" i="83"/>
  <c r="L532" i="83"/>
  <c r="M532" i="83" s="1"/>
  <c r="L275" i="83"/>
  <c r="M275" i="83" s="1"/>
  <c r="L543" i="83"/>
  <c r="M543" i="83" s="1"/>
  <c r="L326" i="83"/>
  <c r="L156" i="83"/>
  <c r="M156" i="83" s="1"/>
  <c r="L92" i="83"/>
  <c r="M92" i="83" s="1"/>
  <c r="L516" i="83"/>
  <c r="M516" i="83" s="1"/>
  <c r="L97" i="83"/>
  <c r="M97" i="83" s="1"/>
  <c r="L11" i="83"/>
  <c r="M11" i="83" s="1"/>
  <c r="L62" i="83"/>
  <c r="M62" i="83" s="1"/>
  <c r="L10" i="83"/>
  <c r="L556" i="83"/>
  <c r="L297" i="83"/>
  <c r="M297" i="83" s="1"/>
  <c r="L345" i="83"/>
  <c r="M345" i="83" s="1"/>
  <c r="L73" i="83"/>
  <c r="L57" i="83"/>
  <c r="L274" i="83"/>
  <c r="L437" i="83"/>
  <c r="M437" i="83" s="1"/>
  <c r="L538" i="83"/>
  <c r="L128" i="83"/>
  <c r="L424" i="83"/>
  <c r="M424" i="83" s="1"/>
  <c r="L207" i="83"/>
  <c r="M207" i="83" s="1"/>
  <c r="L99" i="83"/>
  <c r="L38" i="83"/>
  <c r="M38" i="83" s="1"/>
  <c r="L350" i="83"/>
  <c r="L19" i="83"/>
  <c r="M19" i="83" s="1"/>
  <c r="L48" i="83"/>
  <c r="L329" i="83"/>
  <c r="L237" i="83"/>
  <c r="M237" i="83" s="1"/>
  <c r="L25" i="83"/>
  <c r="M25" i="83" s="1"/>
  <c r="L98" i="83"/>
  <c r="M98" i="83" s="1"/>
  <c r="L184" i="83"/>
  <c r="M184" i="83" s="1"/>
  <c r="L81" i="83"/>
  <c r="M81" i="83" s="1"/>
  <c r="L250" i="83"/>
  <c r="M250" i="83" s="1"/>
  <c r="L142" i="83"/>
  <c r="L362" i="83"/>
  <c r="L137" i="83"/>
  <c r="M137" i="83" s="1"/>
  <c r="L172" i="83"/>
  <c r="M172" i="83" s="1"/>
  <c r="L474" i="83"/>
  <c r="M474" i="83" s="1"/>
  <c r="L155" i="83"/>
  <c r="M155" i="83" s="1"/>
  <c r="L63" i="83"/>
  <c r="M63" i="83" s="1"/>
  <c r="L330" i="83"/>
  <c r="M330" i="83" s="1"/>
  <c r="L259" i="83"/>
  <c r="M259" i="83" s="1"/>
  <c r="L534" i="83"/>
  <c r="M534" i="83" s="1"/>
  <c r="L182" i="83"/>
  <c r="L240" i="83"/>
  <c r="M240" i="83" s="1"/>
  <c r="L114" i="83"/>
  <c r="M114" i="83" s="1"/>
  <c r="L67" i="83"/>
  <c r="M67" i="83" s="1"/>
  <c r="L50" i="83"/>
  <c r="M50" i="83" s="1"/>
  <c r="L16" i="83"/>
  <c r="M16" i="83" s="1"/>
  <c r="L23" i="83"/>
  <c r="L149" i="83"/>
  <c r="L566" i="83"/>
  <c r="L386" i="83"/>
  <c r="M386" i="83" s="1"/>
  <c r="L526" i="83"/>
  <c r="M526" i="83" s="1"/>
  <c r="L490" i="83"/>
  <c r="M490" i="83" s="1"/>
  <c r="L337" i="83"/>
  <c r="M337" i="83" s="1"/>
  <c r="L472" i="83"/>
  <c r="M472" i="83" s="1"/>
  <c r="L528" i="83"/>
  <c r="L502" i="83"/>
  <c r="L49" i="83"/>
  <c r="L116" i="83"/>
  <c r="M116" i="83" s="1"/>
  <c r="L17" i="83"/>
  <c r="M17" i="83" s="1"/>
  <c r="L215" i="83"/>
  <c r="M215" i="83" s="1"/>
  <c r="L562" i="83"/>
  <c r="M562" i="83" s="1"/>
  <c r="L531" i="83"/>
  <c r="M531" i="83" s="1"/>
  <c r="L91" i="83"/>
  <c r="L241" i="83"/>
  <c r="L491" i="83"/>
  <c r="M491" i="83" s="1"/>
  <c r="L143" i="83"/>
  <c r="M143" i="83" s="1"/>
  <c r="L477" i="83"/>
  <c r="M477" i="83" s="1"/>
  <c r="L164" i="83"/>
  <c r="M164" i="83" s="1"/>
  <c r="L74" i="83"/>
  <c r="M74" i="83" s="1"/>
  <c r="L146" i="83"/>
  <c r="M146" i="83" s="1"/>
  <c r="L205" i="83"/>
  <c r="L175" i="83"/>
  <c r="L190" i="83"/>
  <c r="L255" i="83"/>
  <c r="M255" i="83" s="1"/>
  <c r="L112" i="83"/>
  <c r="L332" i="83"/>
  <c r="M332" i="83" s="1"/>
  <c r="L395" i="83"/>
  <c r="M395" i="83" s="1"/>
  <c r="L134" i="83"/>
  <c r="M134" i="83" s="1"/>
  <c r="L573" i="83"/>
  <c r="L470" i="83"/>
  <c r="L185" i="83"/>
  <c r="M185" i="83" s="1"/>
  <c r="L204" i="83"/>
  <c r="M204" i="83" s="1"/>
  <c r="L555" i="83"/>
  <c r="M555" i="83" s="1"/>
  <c r="L232" i="83"/>
  <c r="M232" i="83" s="1"/>
  <c r="L136" i="83"/>
  <c r="M136" i="83" s="1"/>
  <c r="L85" i="83"/>
  <c r="M85" i="83" s="1"/>
  <c r="L293" i="83"/>
  <c r="M293" i="83" s="1"/>
  <c r="L120" i="83"/>
  <c r="L8" i="83"/>
  <c r="L14" i="83"/>
  <c r="M14" i="83" s="1"/>
  <c r="L574" i="83"/>
  <c r="L390" i="83"/>
  <c r="M390" i="83" s="1"/>
  <c r="L20" i="83"/>
  <c r="M20" i="83" s="1"/>
  <c r="L80" i="83"/>
  <c r="M80" i="83" s="1"/>
  <c r="L199" i="83"/>
  <c r="L151" i="83"/>
  <c r="L270" i="83"/>
  <c r="L212" i="83"/>
  <c r="M212" i="83" s="1"/>
  <c r="L65" i="83"/>
  <c r="L54" i="83"/>
  <c r="M54" i="83" s="1"/>
  <c r="L499" i="83"/>
  <c r="M499" i="83" s="1"/>
  <c r="L228" i="83"/>
  <c r="M228" i="83" s="1"/>
  <c r="L507" i="83"/>
  <c r="L193" i="83"/>
  <c r="L541" i="83"/>
  <c r="L106" i="83"/>
  <c r="M106" i="83" s="1"/>
  <c r="L266" i="83"/>
  <c r="K515" i="83"/>
  <c r="L509" i="83"/>
  <c r="M509" i="83" s="1"/>
  <c r="L195" i="83"/>
  <c r="M195" i="83" s="1"/>
  <c r="L64" i="83"/>
  <c r="L551" i="83"/>
  <c r="M551" i="83" s="1"/>
  <c r="L505" i="83"/>
  <c r="M505" i="83" s="1"/>
  <c r="L78" i="83"/>
  <c r="M78" i="83" s="1"/>
  <c r="L69" i="83"/>
  <c r="L396" i="83"/>
  <c r="M396" i="83" s="1"/>
  <c r="L282" i="83"/>
  <c r="L39" i="83"/>
  <c r="L59" i="83"/>
  <c r="M59" i="83" s="1"/>
  <c r="L569" i="83"/>
  <c r="M569" i="83" s="1"/>
  <c r="L406" i="83"/>
  <c r="L463" i="83"/>
  <c r="L397" i="83"/>
  <c r="M397" i="83" s="1"/>
  <c r="L43" i="83"/>
  <c r="L495" i="83"/>
  <c r="L438" i="83"/>
  <c r="M438" i="83" s="1"/>
  <c r="L525" i="83"/>
  <c r="M525" i="83" s="1"/>
  <c r="L549" i="83"/>
  <c r="L47" i="83"/>
  <c r="M47" i="83" s="1"/>
  <c r="L487" i="83"/>
  <c r="M487" i="83" s="1"/>
  <c r="L399" i="83"/>
  <c r="M399" i="83" s="1"/>
  <c r="L13" i="83"/>
  <c r="M13" i="83" s="1"/>
  <c r="L117" i="83"/>
  <c r="L188" i="83"/>
  <c r="M188" i="83" s="1"/>
  <c r="L2" i="83"/>
  <c r="M2" i="83" s="1"/>
  <c r="K12" i="1"/>
  <c r="L581" i="83" s="1"/>
  <c r="M581" i="83" s="1"/>
  <c r="L305" i="83"/>
  <c r="M305" i="83" s="1"/>
  <c r="L34" i="83"/>
  <c r="M34" i="83" s="1"/>
  <c r="L236" i="83"/>
  <c r="M236" i="83" s="1"/>
  <c r="L452" i="83"/>
  <c r="L535" i="83"/>
  <c r="M535" i="83" s="1"/>
  <c r="L334" i="83"/>
  <c r="M334" i="83" s="1"/>
  <c r="L361" i="83"/>
  <c r="M361" i="83" s="1"/>
  <c r="L357" i="83"/>
  <c r="M357" i="83" s="1"/>
  <c r="L211" i="83"/>
  <c r="M211" i="83" s="1"/>
  <c r="L520" i="83"/>
  <c r="M520" i="83" s="1"/>
  <c r="L230" i="83"/>
  <c r="L482" i="83"/>
  <c r="M482" i="83" s="1"/>
  <c r="L391" i="83"/>
  <c r="M391" i="83" s="1"/>
  <c r="L123" i="83"/>
  <c r="M123" i="83" s="1"/>
  <c r="L530" i="83"/>
  <c r="M530" i="83" s="1"/>
  <c r="L154" i="83"/>
  <c r="L484" i="83"/>
  <c r="M484" i="83" s="1"/>
  <c r="BE154" i="1" l="1"/>
  <c r="BE127" i="1"/>
  <c r="BE21" i="1"/>
  <c r="BE153" i="1"/>
  <c r="BF153" i="1"/>
  <c r="BF322" i="1"/>
  <c r="BF154" i="1"/>
  <c r="BF162" i="1"/>
  <c r="F7" i="139"/>
  <c r="E10" i="139"/>
  <c r="E14" i="139"/>
  <c r="E18" i="139"/>
  <c r="E22" i="139"/>
  <c r="E26" i="139"/>
  <c r="E30" i="139"/>
  <c r="E34" i="139"/>
  <c r="E38" i="139"/>
  <c r="E42" i="139"/>
  <c r="E46" i="139"/>
  <c r="F49" i="139"/>
  <c r="E8" i="139"/>
  <c r="E11" i="139"/>
  <c r="E15" i="139"/>
  <c r="E19" i="139"/>
  <c r="E23" i="139"/>
  <c r="E27" i="139"/>
  <c r="E31" i="139"/>
  <c r="E35" i="139"/>
  <c r="E39" i="139"/>
  <c r="E43" i="139"/>
  <c r="E47" i="139"/>
  <c r="F53" i="139"/>
  <c r="F57" i="139"/>
  <c r="E5" i="139"/>
  <c r="F5" i="139"/>
  <c r="G8" i="139"/>
  <c r="E12" i="139"/>
  <c r="E16" i="139"/>
  <c r="E20" i="139"/>
  <c r="E24" i="139"/>
  <c r="E28" i="139"/>
  <c r="E32" i="139"/>
  <c r="E36" i="139"/>
  <c r="E40" i="139"/>
  <c r="E44" i="139"/>
  <c r="E48" i="139"/>
  <c r="F50" i="139"/>
  <c r="F54" i="139"/>
  <c r="F58" i="139"/>
  <c r="E9" i="139"/>
  <c r="F15" i="139"/>
  <c r="F21" i="139"/>
  <c r="F28" i="139"/>
  <c r="F34" i="139"/>
  <c r="E41" i="139"/>
  <c r="F47" i="139"/>
  <c r="E52" i="139"/>
  <c r="E57" i="139"/>
  <c r="F9" i="139"/>
  <c r="F16" i="139"/>
  <c r="F22" i="139"/>
  <c r="E29" i="139"/>
  <c r="F35" i="139"/>
  <c r="F41" i="139"/>
  <c r="F48" i="139"/>
  <c r="F52" i="139"/>
  <c r="E58" i="139"/>
  <c r="E6" i="139"/>
  <c r="F10" i="139"/>
  <c r="E17" i="139"/>
  <c r="F23" i="139"/>
  <c r="F29" i="139"/>
  <c r="F36" i="139"/>
  <c r="F42" i="139"/>
  <c r="D49" i="139"/>
  <c r="E53" i="139"/>
  <c r="E59" i="139"/>
  <c r="F6" i="139"/>
  <c r="F11" i="139"/>
  <c r="F17" i="139"/>
  <c r="F24" i="139"/>
  <c r="F30" i="139"/>
  <c r="E37" i="139"/>
  <c r="F43" i="139"/>
  <c r="E49" i="139"/>
  <c r="E54" i="139"/>
  <c r="F59" i="139"/>
  <c r="E7" i="139"/>
  <c r="F12" i="139"/>
  <c r="F18" i="139"/>
  <c r="E25" i="139"/>
  <c r="F31" i="139"/>
  <c r="F37" i="139"/>
  <c r="F44" i="139"/>
  <c r="E55" i="139"/>
  <c r="E60" i="139"/>
  <c r="D8" i="139"/>
  <c r="E13" i="139"/>
  <c r="F19" i="139"/>
  <c r="F25" i="139"/>
  <c r="F32" i="139"/>
  <c r="F38" i="139"/>
  <c r="E45" i="139"/>
  <c r="E50" i="139"/>
  <c r="F55" i="139"/>
  <c r="F60" i="139"/>
  <c r="F8" i="139"/>
  <c r="F13" i="139"/>
  <c r="F20" i="139"/>
  <c r="F26" i="139"/>
  <c r="E33" i="139"/>
  <c r="F39" i="139"/>
  <c r="F45" i="139"/>
  <c r="E51" i="139"/>
  <c r="E56" i="139"/>
  <c r="H8" i="139"/>
  <c r="F14" i="139"/>
  <c r="E21" i="139"/>
  <c r="F27" i="139"/>
  <c r="F33" i="139"/>
  <c r="F40" i="139"/>
  <c r="F46" i="139"/>
  <c r="F51" i="139"/>
  <c r="F56" i="139"/>
  <c r="D44" i="139"/>
  <c r="D35" i="139"/>
  <c r="D41" i="139"/>
  <c r="D33" i="139"/>
  <c r="D22" i="139"/>
  <c r="D60" i="139"/>
  <c r="D5" i="139"/>
  <c r="D59" i="139"/>
  <c r="D13" i="139"/>
  <c r="D15" i="139"/>
  <c r="D37" i="139"/>
  <c r="D51" i="139"/>
  <c r="D11" i="139"/>
  <c r="D7" i="139"/>
  <c r="D56" i="139"/>
  <c r="H7" i="139"/>
  <c r="D28" i="139"/>
  <c r="D10" i="139"/>
  <c r="D46" i="139"/>
  <c r="H5" i="139"/>
  <c r="D31" i="139"/>
  <c r="D14" i="139"/>
  <c r="D9" i="139"/>
  <c r="H6" i="139"/>
  <c r="D6" i="139"/>
  <c r="H13" i="139"/>
  <c r="BF9" i="1"/>
  <c r="AX4" i="1"/>
  <c r="AU4" i="1"/>
  <c r="AT4" i="1"/>
  <c r="L448" i="83"/>
  <c r="M448" i="83" s="1"/>
  <c r="D12" i="139"/>
  <c r="BE18" i="1"/>
  <c r="Q18" i="71"/>
  <c r="N14" i="1"/>
  <c r="D35" i="71"/>
  <c r="N18" i="1"/>
  <c r="M61" i="71"/>
  <c r="N50" i="71"/>
  <c r="N61" i="71"/>
  <c r="M50" i="71"/>
  <c r="N17" i="1"/>
  <c r="D41" i="71" s="1"/>
  <c r="N11" i="1"/>
  <c r="D51" i="71" s="1"/>
  <c r="E47" i="71"/>
  <c r="M9" i="139"/>
  <c r="M17" i="139"/>
  <c r="M25" i="139"/>
  <c r="M33" i="139"/>
  <c r="M41" i="139"/>
  <c r="M49" i="139"/>
  <c r="M57" i="139"/>
  <c r="L8" i="139"/>
  <c r="O4" i="139"/>
  <c r="M11" i="139"/>
  <c r="M19" i="139"/>
  <c r="M27" i="139"/>
  <c r="M35" i="139"/>
  <c r="M43" i="139"/>
  <c r="O6" i="139"/>
  <c r="N4" i="139"/>
  <c r="M12" i="139"/>
  <c r="M20" i="139"/>
  <c r="M28" i="139"/>
  <c r="M36" i="139"/>
  <c r="M44" i="139"/>
  <c r="M52" i="139"/>
  <c r="M60" i="139"/>
  <c r="L59" i="139"/>
  <c r="M5" i="139"/>
  <c r="M13" i="139"/>
  <c r="M21" i="139"/>
  <c r="M29" i="139"/>
  <c r="M37" i="139"/>
  <c r="M45" i="139"/>
  <c r="M53" i="139"/>
  <c r="M4" i="139"/>
  <c r="O8" i="139"/>
  <c r="M6" i="139"/>
  <c r="M14" i="139"/>
  <c r="M22" i="139"/>
  <c r="M30" i="139"/>
  <c r="M38" i="139"/>
  <c r="M46" i="139"/>
  <c r="M54" i="139"/>
  <c r="L5" i="139"/>
  <c r="L13" i="139"/>
  <c r="L4" i="139"/>
  <c r="N8" i="139"/>
  <c r="M7" i="139"/>
  <c r="M15" i="139"/>
  <c r="M23" i="139"/>
  <c r="M31" i="139"/>
  <c r="M39" i="139"/>
  <c r="M47" i="139"/>
  <c r="M55" i="139"/>
  <c r="L6" i="139"/>
  <c r="H4" i="139"/>
  <c r="M16" i="139"/>
  <c r="M48" i="139"/>
  <c r="M18" i="139"/>
  <c r="M50" i="139"/>
  <c r="L15" i="139"/>
  <c r="G4" i="139"/>
  <c r="M24" i="139"/>
  <c r="M51" i="139"/>
  <c r="F4" i="139"/>
  <c r="M26" i="139"/>
  <c r="M56" i="139"/>
  <c r="E4" i="139"/>
  <c r="M59" i="139"/>
  <c r="L44" i="139"/>
  <c r="M32" i="139"/>
  <c r="M58" i="139"/>
  <c r="D4" i="139"/>
  <c r="M34" i="139"/>
  <c r="M8" i="139"/>
  <c r="M40" i="139"/>
  <c r="L7" i="139"/>
  <c r="M10" i="139"/>
  <c r="M42" i="139"/>
  <c r="L31" i="139"/>
  <c r="O41" i="139"/>
  <c r="O13" i="139"/>
  <c r="N16" i="1"/>
  <c r="N7" i="1"/>
  <c r="N10" i="1"/>
  <c r="N12" i="1"/>
  <c r="N9" i="1"/>
  <c r="D32" i="71" s="1"/>
  <c r="D49" i="71"/>
  <c r="N8" i="1"/>
  <c r="M452" i="83"/>
  <c r="M541" i="83"/>
  <c r="M566" i="83"/>
  <c r="M495" i="83"/>
  <c r="M463" i="83"/>
  <c r="M154" i="83"/>
  <c r="M230" i="83"/>
  <c r="M117" i="83"/>
  <c r="M270" i="83"/>
  <c r="M190" i="83"/>
  <c r="M49" i="83"/>
  <c r="M43" i="83"/>
  <c r="M406" i="83"/>
  <c r="M39" i="83"/>
  <c r="M69" i="83"/>
  <c r="M350" i="83"/>
  <c r="M274" i="83"/>
  <c r="M126" i="83"/>
  <c r="M524" i="83"/>
  <c r="M289" i="83"/>
  <c r="M348" i="83"/>
  <c r="M239" i="83"/>
  <c r="M57" i="83"/>
  <c r="M150" i="83"/>
  <c r="M254" i="83"/>
  <c r="M338" i="83"/>
  <c r="M552" i="83"/>
  <c r="M194" i="83"/>
  <c r="M549" i="83"/>
  <c r="M266" i="83"/>
  <c r="M65" i="83"/>
  <c r="M574" i="83"/>
  <c r="M112" i="83"/>
  <c r="M99" i="83"/>
  <c r="M73" i="83"/>
  <c r="M435" i="83"/>
  <c r="M122" i="83"/>
  <c r="M578" i="83"/>
  <c r="M299" i="83"/>
  <c r="M176" i="83"/>
  <c r="M82" i="83"/>
  <c r="M41" i="83"/>
  <c r="M8" i="83"/>
  <c r="M182" i="83"/>
  <c r="M393" i="83"/>
  <c r="M536" i="83"/>
  <c r="M514" i="83"/>
  <c r="M398" i="83"/>
  <c r="M306" i="83"/>
  <c r="M166" i="83"/>
  <c r="M110" i="83"/>
  <c r="BE14" i="1"/>
  <c r="BE15" i="1"/>
  <c r="D28" i="71"/>
  <c r="D26" i="139"/>
  <c r="D39" i="139"/>
  <c r="M64" i="83"/>
  <c r="M193" i="83"/>
  <c r="M151" i="83"/>
  <c r="M120" i="83"/>
  <c r="M470" i="83"/>
  <c r="M175" i="83"/>
  <c r="M241" i="83"/>
  <c r="M502" i="83"/>
  <c r="M149" i="83"/>
  <c r="M362" i="83"/>
  <c r="M329" i="83"/>
  <c r="M128" i="83"/>
  <c r="M556" i="83"/>
  <c r="M326" i="83"/>
  <c r="M248" i="83"/>
  <c r="M439" i="83"/>
  <c r="M186" i="83"/>
  <c r="M471" i="83"/>
  <c r="M384" i="83"/>
  <c r="M162" i="83"/>
  <c r="M71" i="83"/>
  <c r="D33" i="71"/>
  <c r="M282" i="83"/>
  <c r="M507" i="83"/>
  <c r="M199" i="83"/>
  <c r="M573" i="83"/>
  <c r="M205" i="83"/>
  <c r="M91" i="83"/>
  <c r="M528" i="83"/>
  <c r="M23" i="83"/>
  <c r="M142" i="83"/>
  <c r="M48" i="83"/>
  <c r="M538" i="83"/>
  <c r="M10" i="83"/>
  <c r="M388" i="83"/>
  <c r="M475" i="83"/>
  <c r="M129" i="83"/>
  <c r="M533" i="83"/>
  <c r="M382" i="83"/>
  <c r="M290" i="83"/>
  <c r="M161" i="83"/>
  <c r="M109" i="83"/>
  <c r="M9" i="83"/>
  <c r="L296" i="83"/>
  <c r="M296" i="83" s="1"/>
  <c r="L572" i="83"/>
  <c r="M572" i="83" s="1"/>
  <c r="L21" i="83"/>
  <c r="M21" i="83" s="1"/>
  <c r="L103" i="83"/>
  <c r="M103" i="83" s="1"/>
  <c r="L246" i="83"/>
  <c r="M246" i="83" s="1"/>
  <c r="L233" i="83"/>
  <c r="M233" i="83" s="1"/>
  <c r="L286" i="83"/>
  <c r="M286" i="83" s="1"/>
  <c r="L303" i="83"/>
  <c r="M303" i="83" s="1"/>
  <c r="L359" i="83"/>
  <c r="M359" i="83" s="1"/>
  <c r="L522" i="83"/>
  <c r="M522" i="83" s="1"/>
  <c r="L547" i="83"/>
  <c r="M547" i="83" s="1"/>
  <c r="L570" i="83"/>
  <c r="M570" i="83" s="1"/>
  <c r="L434" i="83"/>
  <c r="M434" i="83" s="1"/>
  <c r="L561" i="83"/>
  <c r="M561" i="83" s="1"/>
  <c r="L29" i="83"/>
  <c r="M29" i="83" s="1"/>
  <c r="L5" i="83"/>
  <c r="M5" i="83" s="1"/>
  <c r="L75" i="83"/>
  <c r="M75" i="83" s="1"/>
  <c r="L93" i="83"/>
  <c r="M93" i="83" s="1"/>
  <c r="K11" i="1"/>
  <c r="L376" i="83" s="1"/>
  <c r="M376" i="83" s="1"/>
  <c r="L163" i="83"/>
  <c r="M163" i="83" s="1"/>
  <c r="L249" i="83"/>
  <c r="M249" i="83" s="1"/>
  <c r="L268" i="83"/>
  <c r="M268" i="83" s="1"/>
  <c r="K13" i="1"/>
  <c r="L294" i="83" s="1"/>
  <c r="M294" i="83" s="1"/>
  <c r="L373" i="83"/>
  <c r="M373" i="83" s="1"/>
  <c r="L341" i="83"/>
  <c r="M341" i="83" s="1"/>
  <c r="AV16" i="1"/>
  <c r="AV8" i="1"/>
  <c r="AY10" i="1"/>
  <c r="AY16" i="1"/>
  <c r="D58" i="71"/>
  <c r="D47" i="71"/>
  <c r="D22" i="71"/>
  <c r="D54" i="71"/>
  <c r="Q50" i="71"/>
  <c r="D53" i="71"/>
  <c r="Q44" i="71"/>
  <c r="Q11" i="71"/>
  <c r="D59" i="71"/>
  <c r="AY12" i="1"/>
  <c r="AV12" i="1"/>
  <c r="L152" i="83"/>
  <c r="M152" i="83" s="1"/>
  <c r="AY8" i="1"/>
  <c r="AV11" i="1"/>
  <c r="AY13" i="1"/>
  <c r="AV13" i="1"/>
  <c r="AY17" i="1"/>
  <c r="L30" i="83"/>
  <c r="M30" i="83" s="1"/>
  <c r="K8" i="1"/>
  <c r="L6" i="83" s="1"/>
  <c r="M6" i="83" s="1"/>
  <c r="K15" i="1"/>
  <c r="L18" i="83" s="1"/>
  <c r="M18" i="83" s="1"/>
  <c r="K10" i="1"/>
  <c r="L32" i="83" s="1"/>
  <c r="M32" i="83" s="1"/>
  <c r="L35" i="83"/>
  <c r="M35" i="83" s="1"/>
  <c r="L51" i="83"/>
  <c r="M51" i="83" s="1"/>
  <c r="L55" i="83"/>
  <c r="M55" i="83" s="1"/>
  <c r="L61" i="83"/>
  <c r="M61" i="83" s="1"/>
  <c r="L70" i="83"/>
  <c r="M70" i="83" s="1"/>
  <c r="L44" i="83"/>
  <c r="M44" i="83" s="1"/>
  <c r="K17" i="1"/>
  <c r="L83" i="83" s="1"/>
  <c r="M83" i="83" s="1"/>
  <c r="L88" i="83"/>
  <c r="M88" i="83" s="1"/>
  <c r="L125" i="83"/>
  <c r="M125" i="83" s="1"/>
  <c r="L124" i="83"/>
  <c r="M124" i="83" s="1"/>
  <c r="L219" i="83"/>
  <c r="M219" i="83" s="1"/>
  <c r="L148" i="83"/>
  <c r="M148" i="83" s="1"/>
  <c r="L157" i="83"/>
  <c r="M157" i="83" s="1"/>
  <c r="L165" i="83"/>
  <c r="M165" i="83" s="1"/>
  <c r="L206" i="83"/>
  <c r="M206" i="83" s="1"/>
  <c r="L213" i="83"/>
  <c r="M213" i="83" s="1"/>
  <c r="L226" i="83"/>
  <c r="M226" i="83" s="1"/>
  <c r="L238" i="83"/>
  <c r="M238" i="83" s="1"/>
  <c r="L257" i="83"/>
  <c r="M257" i="83" s="1"/>
  <c r="L251" i="83"/>
  <c r="M251" i="83" s="1"/>
  <c r="L283" i="83"/>
  <c r="M283" i="83" s="1"/>
  <c r="L269" i="83"/>
  <c r="M269" i="83" s="1"/>
  <c r="L141" i="83"/>
  <c r="M141" i="83" s="1"/>
  <c r="L321" i="83"/>
  <c r="M321" i="83" s="1"/>
  <c r="L312" i="83"/>
  <c r="M312" i="83" s="1"/>
  <c r="L323" i="83"/>
  <c r="M323" i="83" s="1"/>
  <c r="L317" i="83"/>
  <c r="M317" i="83" s="1"/>
  <c r="L301" i="83"/>
  <c r="M301" i="83" s="1"/>
  <c r="L355" i="83"/>
  <c r="M355" i="83" s="1"/>
  <c r="L358" i="83"/>
  <c r="M358" i="83" s="1"/>
  <c r="L365" i="83"/>
  <c r="M365" i="83" s="1"/>
  <c r="L367" i="83"/>
  <c r="M367" i="83" s="1"/>
  <c r="L335" i="83"/>
  <c r="M335" i="83" s="1"/>
  <c r="L342" i="83"/>
  <c r="M342" i="83" s="1"/>
  <c r="L347" i="83"/>
  <c r="M347" i="83" s="1"/>
  <c r="L413" i="83"/>
  <c r="M413" i="83" s="1"/>
  <c r="L417" i="83"/>
  <c r="M417" i="83" s="1"/>
  <c r="L420" i="83"/>
  <c r="M420" i="83" s="1"/>
  <c r="L430" i="83"/>
  <c r="M430" i="83" s="1"/>
  <c r="L400" i="83"/>
  <c r="M400" i="83" s="1"/>
  <c r="L436" i="83"/>
  <c r="M436" i="83" s="1"/>
  <c r="L442" i="83"/>
  <c r="M442" i="83" s="1"/>
  <c r="L445" i="83"/>
  <c r="M445" i="83" s="1"/>
  <c r="L449" i="83"/>
  <c r="M449" i="83" s="1"/>
  <c r="L459" i="83"/>
  <c r="M459" i="83" s="1"/>
  <c r="L464" i="83"/>
  <c r="M464" i="83" s="1"/>
  <c r="L479" i="83"/>
  <c r="M479" i="83" s="1"/>
  <c r="L483" i="83"/>
  <c r="M483" i="83" s="1"/>
  <c r="L476" i="83"/>
  <c r="M476" i="83" s="1"/>
  <c r="L496" i="83"/>
  <c r="M496" i="83" s="1"/>
  <c r="L501" i="83"/>
  <c r="M501" i="83" s="1"/>
  <c r="L510" i="83"/>
  <c r="M510" i="83" s="1"/>
  <c r="L517" i="83"/>
  <c r="M517" i="83" s="1"/>
  <c r="L539" i="83"/>
  <c r="M539" i="83" s="1"/>
  <c r="L577" i="83"/>
  <c r="M577" i="83" s="1"/>
  <c r="L582" i="83"/>
  <c r="M582" i="83" s="1"/>
  <c r="L558" i="83"/>
  <c r="M558" i="83" s="1"/>
  <c r="AY9" i="1"/>
  <c r="AY18" i="1"/>
  <c r="L31" i="83"/>
  <c r="M31" i="83" s="1"/>
  <c r="L7" i="83"/>
  <c r="M7" i="83" s="1"/>
  <c r="L27" i="83"/>
  <c r="M27" i="83" s="1"/>
  <c r="G54" i="71"/>
  <c r="L66" i="83"/>
  <c r="M66" i="83" s="1"/>
  <c r="L76" i="83"/>
  <c r="M76" i="83" s="1"/>
  <c r="L89" i="83"/>
  <c r="M89" i="83" s="1"/>
  <c r="L96" i="83"/>
  <c r="M96" i="83" s="1"/>
  <c r="L119" i="83"/>
  <c r="M119" i="83" s="1"/>
  <c r="K9" i="1"/>
  <c r="G8" i="71" s="1"/>
  <c r="L135" i="83"/>
  <c r="M135" i="83" s="1"/>
  <c r="L144" i="83"/>
  <c r="M144" i="83" s="1"/>
  <c r="L222" i="83"/>
  <c r="M222" i="83" s="1"/>
  <c r="L159" i="83"/>
  <c r="M159" i="83" s="1"/>
  <c r="L167" i="83"/>
  <c r="M167" i="83" s="1"/>
  <c r="L178" i="83"/>
  <c r="M178" i="83" s="1"/>
  <c r="L183" i="83"/>
  <c r="M183" i="83" s="1"/>
  <c r="L191" i="83"/>
  <c r="M191" i="83" s="1"/>
  <c r="L197" i="83"/>
  <c r="M197" i="83" s="1"/>
  <c r="L202" i="83"/>
  <c r="M202" i="83" s="1"/>
  <c r="L209" i="83"/>
  <c r="M209" i="83" s="1"/>
  <c r="L214" i="83"/>
  <c r="M214" i="83" s="1"/>
  <c r="K14" i="1"/>
  <c r="L242" i="83"/>
  <c r="M242" i="83" s="1"/>
  <c r="L258" i="83"/>
  <c r="M258" i="83" s="1"/>
  <c r="L253" i="83"/>
  <c r="M253" i="83" s="1"/>
  <c r="L278" i="83"/>
  <c r="M278" i="83" s="1"/>
  <c r="L284" i="83"/>
  <c r="M284" i="83" s="1"/>
  <c r="L560" i="83"/>
  <c r="M560" i="83" s="1"/>
  <c r="L320" i="83"/>
  <c r="M320" i="83" s="1"/>
  <c r="L309" i="83"/>
  <c r="M309" i="83" s="1"/>
  <c r="L313" i="83"/>
  <c r="M313" i="83" s="1"/>
  <c r="L316" i="83"/>
  <c r="M316" i="83" s="1"/>
  <c r="L291" i="83"/>
  <c r="M291" i="83" s="1"/>
  <c r="L298" i="83"/>
  <c r="M298" i="83" s="1"/>
  <c r="L352" i="83"/>
  <c r="M352" i="83" s="1"/>
  <c r="L369" i="83"/>
  <c r="M369" i="83" s="1"/>
  <c r="L364" i="83"/>
  <c r="M364" i="83" s="1"/>
  <c r="L368" i="83"/>
  <c r="M368" i="83" s="1"/>
  <c r="L339" i="83"/>
  <c r="M339" i="83" s="1"/>
  <c r="L349" i="83"/>
  <c r="M349" i="83" s="1"/>
  <c r="L418" i="83"/>
  <c r="M418" i="83" s="1"/>
  <c r="L425" i="83"/>
  <c r="M425" i="83" s="1"/>
  <c r="L460" i="83"/>
  <c r="M460" i="83" s="1"/>
  <c r="L394" i="83"/>
  <c r="M394" i="83" s="1"/>
  <c r="L480" i="83"/>
  <c r="M480" i="83" s="1"/>
  <c r="L493" i="83"/>
  <c r="M493" i="83" s="1"/>
  <c r="L497" i="83"/>
  <c r="M497" i="83" s="1"/>
  <c r="L503" i="83"/>
  <c r="M503" i="83" s="1"/>
  <c r="L506" i="83"/>
  <c r="M506" i="83" s="1"/>
  <c r="L518" i="83"/>
  <c r="M518" i="83" s="1"/>
  <c r="L540" i="83"/>
  <c r="M540" i="83" s="1"/>
  <c r="L579" i="83"/>
  <c r="M579" i="83" s="1"/>
  <c r="L553" i="83"/>
  <c r="M553" i="83" s="1"/>
  <c r="L264" i="83"/>
  <c r="M264" i="83" s="1"/>
  <c r="L565" i="83"/>
  <c r="M565" i="83" s="1"/>
  <c r="C9" i="71"/>
  <c r="L171" i="83"/>
  <c r="M171" i="83" s="1"/>
  <c r="L189" i="83"/>
  <c r="M189" i="83" s="1"/>
  <c r="L392" i="83"/>
  <c r="M392" i="83" s="1"/>
  <c r="AY11" i="1"/>
  <c r="L387" i="83"/>
  <c r="M387" i="83" s="1"/>
  <c r="L111" i="83"/>
  <c r="M111" i="83" s="1"/>
  <c r="L133" i="83"/>
  <c r="M133" i="83" s="1"/>
  <c r="L527" i="83"/>
  <c r="M527" i="83" s="1"/>
  <c r="L563" i="83"/>
  <c r="M563" i="83" s="1"/>
  <c r="N15" i="1"/>
  <c r="N6" i="1"/>
  <c r="AV14" i="1"/>
  <c r="AV6" i="1"/>
  <c r="AY7" i="1"/>
  <c r="AV15" i="1"/>
  <c r="AV7" i="1"/>
  <c r="D36" i="71"/>
  <c r="D27" i="71"/>
  <c r="D29" i="71"/>
  <c r="N13" i="1"/>
  <c r="D10" i="71" s="1"/>
  <c r="G56" i="71"/>
  <c r="L12" i="83"/>
  <c r="M12" i="83" s="1"/>
  <c r="K16" i="1"/>
  <c r="L33" i="83" s="1"/>
  <c r="M33" i="83" s="1"/>
  <c r="L52" i="83"/>
  <c r="M52" i="83" s="1"/>
  <c r="L68" i="83"/>
  <c r="M68" i="83" s="1"/>
  <c r="L72" i="83"/>
  <c r="M72" i="83" s="1"/>
  <c r="L77" i="83"/>
  <c r="M77" i="83" s="1"/>
  <c r="L86" i="83"/>
  <c r="M86" i="83" s="1"/>
  <c r="L90" i="83"/>
  <c r="M90" i="83" s="1"/>
  <c r="K7" i="1"/>
  <c r="L107" i="83" s="1"/>
  <c r="M107" i="83" s="1"/>
  <c r="G26" i="71"/>
  <c r="L121" i="83"/>
  <c r="M121" i="83" s="1"/>
  <c r="L218" i="83"/>
  <c r="M218" i="83" s="1"/>
  <c r="L220" i="83"/>
  <c r="M220" i="83" s="1"/>
  <c r="L153" i="83"/>
  <c r="M153" i="83" s="1"/>
  <c r="L168" i="83"/>
  <c r="M168" i="83" s="1"/>
  <c r="L173" i="83"/>
  <c r="M173" i="83" s="1"/>
  <c r="L192" i="83"/>
  <c r="M192" i="83" s="1"/>
  <c r="L515" i="83"/>
  <c r="M515" i="83" s="1"/>
  <c r="L216" i="83"/>
  <c r="M216" i="83" s="1"/>
  <c r="L245" i="83"/>
  <c r="M245" i="83" s="1"/>
  <c r="L385" i="83"/>
  <c r="M385" i="83" s="1"/>
  <c r="L234" i="83"/>
  <c r="M234" i="83" s="1"/>
  <c r="L256" i="83"/>
  <c r="M256" i="83" s="1"/>
  <c r="L247" i="83"/>
  <c r="M247" i="83" s="1"/>
  <c r="L285" i="83"/>
  <c r="M285" i="83" s="1"/>
  <c r="L267" i="83"/>
  <c r="M267" i="83" s="1"/>
  <c r="L272" i="83"/>
  <c r="M272" i="83" s="1"/>
  <c r="L310" i="83"/>
  <c r="M310" i="83" s="1"/>
  <c r="L328" i="83"/>
  <c r="M328" i="83" s="1"/>
  <c r="L292" i="83"/>
  <c r="M292" i="83" s="1"/>
  <c r="L559" i="83"/>
  <c r="M559" i="83" s="1"/>
  <c r="L353" i="83"/>
  <c r="M353" i="83" s="1"/>
  <c r="L356" i="83"/>
  <c r="M356" i="83" s="1"/>
  <c r="L360" i="83"/>
  <c r="M360" i="83" s="1"/>
  <c r="L370" i="83"/>
  <c r="M370" i="83" s="1"/>
  <c r="L372" i="83"/>
  <c r="M372" i="83" s="1"/>
  <c r="L374" i="83"/>
  <c r="M374" i="83" s="1"/>
  <c r="L333" i="83"/>
  <c r="M333" i="83" s="1"/>
  <c r="L344" i="83"/>
  <c r="M344" i="83" s="1"/>
  <c r="L351" i="83"/>
  <c r="M351" i="83" s="1"/>
  <c r="L415" i="83"/>
  <c r="M415" i="83" s="1"/>
  <c r="L421" i="83"/>
  <c r="M421" i="83" s="1"/>
  <c r="L426" i="83"/>
  <c r="M426" i="83" s="1"/>
  <c r="L432" i="83"/>
  <c r="M432" i="83" s="1"/>
  <c r="L447" i="83"/>
  <c r="M447" i="83" s="1"/>
  <c r="L451" i="83"/>
  <c r="M451" i="83" s="1"/>
  <c r="L412" i="83"/>
  <c r="M412" i="83" s="1"/>
  <c r="L461" i="83"/>
  <c r="M461" i="83" s="1"/>
  <c r="L380" i="83"/>
  <c r="M380" i="83" s="1"/>
  <c r="L465" i="83"/>
  <c r="M465" i="83" s="1"/>
  <c r="L481" i="83"/>
  <c r="M481" i="83" s="1"/>
  <c r="L473" i="83"/>
  <c r="M473" i="83" s="1"/>
  <c r="L498" i="83"/>
  <c r="M498" i="83" s="1"/>
  <c r="L504" i="83"/>
  <c r="M504" i="83" s="1"/>
  <c r="L508" i="83"/>
  <c r="M508" i="83" s="1"/>
  <c r="L512" i="83"/>
  <c r="M512" i="83" s="1"/>
  <c r="L519" i="83"/>
  <c r="M519" i="83" s="1"/>
  <c r="L529" i="83"/>
  <c r="M529" i="83" s="1"/>
  <c r="L580" i="83"/>
  <c r="M580" i="83" s="1"/>
  <c r="L583" i="83"/>
  <c r="M583" i="83" s="1"/>
  <c r="L554" i="83"/>
  <c r="M554" i="83" s="1"/>
  <c r="E59" i="71"/>
  <c r="C14" i="71"/>
  <c r="B51" i="71"/>
  <c r="E61" i="71"/>
  <c r="D61" i="71"/>
  <c r="B18" i="71"/>
  <c r="F59" i="71"/>
  <c r="C23" i="71"/>
  <c r="C53" i="71"/>
  <c r="F50" i="71"/>
  <c r="B30" i="71"/>
  <c r="B58" i="71"/>
  <c r="F61" i="71"/>
  <c r="E50" i="71"/>
  <c r="B34" i="71"/>
  <c r="Q8" i="71"/>
  <c r="Q16" i="71"/>
  <c r="Q24" i="71"/>
  <c r="Q32" i="71"/>
  <c r="Q40" i="71"/>
  <c r="Q48" i="71"/>
  <c r="Q56" i="71"/>
  <c r="C50" i="71"/>
  <c r="Q9" i="71"/>
  <c r="Q17" i="71"/>
  <c r="Q25" i="71"/>
  <c r="Q33" i="71"/>
  <c r="Q41" i="71"/>
  <c r="Q49" i="71"/>
  <c r="Q57" i="71"/>
  <c r="B48" i="71"/>
  <c r="D50" i="71"/>
  <c r="G59" i="71"/>
  <c r="C61" i="71"/>
  <c r="Q13" i="71"/>
  <c r="Q21" i="71"/>
  <c r="Q29" i="71"/>
  <c r="Q37" i="71"/>
  <c r="Q45" i="71"/>
  <c r="Q53" i="71"/>
  <c r="Q61" i="71"/>
  <c r="G61" i="71"/>
  <c r="Q7" i="71"/>
  <c r="Q20" i="71"/>
  <c r="Q34" i="71"/>
  <c r="Q46" i="71"/>
  <c r="Q59" i="71"/>
  <c r="Q10" i="71"/>
  <c r="Q22" i="71"/>
  <c r="Q35" i="71"/>
  <c r="Q47" i="71"/>
  <c r="Q60" i="71"/>
  <c r="Q12" i="71"/>
  <c r="Q26" i="71"/>
  <c r="Q38" i="71"/>
  <c r="Q51" i="71"/>
  <c r="B59" i="71"/>
  <c r="Q14" i="71"/>
  <c r="Q27" i="71"/>
  <c r="Q39" i="71"/>
  <c r="Q52" i="71"/>
  <c r="G50" i="71"/>
  <c r="C59" i="71"/>
  <c r="Q15" i="71"/>
  <c r="Q28" i="71"/>
  <c r="Q42" i="71"/>
  <c r="Q54" i="71"/>
  <c r="D25" i="71"/>
  <c r="G53" i="71"/>
  <c r="D60" i="71"/>
  <c r="Q19" i="71"/>
  <c r="Q55" i="71"/>
  <c r="D52" i="71"/>
  <c r="Q23" i="71"/>
  <c r="Q58" i="71"/>
  <c r="B50" i="71"/>
  <c r="Q30" i="71"/>
  <c r="Q5" i="71"/>
  <c r="Q31" i="71"/>
  <c r="B61" i="71"/>
  <c r="Q36" i="71"/>
  <c r="Q6" i="71"/>
  <c r="Q43" i="71"/>
  <c r="AY14" i="1"/>
  <c r="F27" i="71"/>
  <c r="G27" i="71"/>
  <c r="L139" i="83"/>
  <c r="M139" i="83" s="1"/>
  <c r="L307" i="83"/>
  <c r="M307" i="83" s="1"/>
  <c r="L492" i="83"/>
  <c r="M492" i="83" s="1"/>
  <c r="L130" i="83"/>
  <c r="M130" i="83" s="1"/>
  <c r="L4" i="83"/>
  <c r="M4" i="83" s="1"/>
  <c r="L37" i="83"/>
  <c r="M37" i="83" s="1"/>
  <c r="L378" i="83"/>
  <c r="M378" i="83" s="1"/>
  <c r="L548" i="83"/>
  <c r="M548" i="83" s="1"/>
  <c r="L187" i="83"/>
  <c r="M187" i="83" s="1"/>
  <c r="L179" i="83"/>
  <c r="M179" i="83" s="1"/>
  <c r="L486" i="83"/>
  <c r="M486" i="83" s="1"/>
  <c r="G47" i="71"/>
  <c r="L224" i="83"/>
  <c r="M224" i="83" s="1"/>
  <c r="F25" i="71"/>
  <c r="G25" i="71"/>
  <c r="L542" i="83"/>
  <c r="M542" i="83" s="1"/>
  <c r="D55" i="71"/>
  <c r="D23" i="71"/>
  <c r="G9" i="71"/>
  <c r="D57" i="71"/>
  <c r="D26" i="71"/>
  <c r="D56" i="71"/>
  <c r="G41" i="71"/>
  <c r="G52" i="71"/>
  <c r="AV9" i="1"/>
  <c r="L444" i="83"/>
  <c r="M444" i="83" s="1"/>
  <c r="E41" i="71"/>
  <c r="L571" i="83"/>
  <c r="M571" i="83" s="1"/>
  <c r="C15" i="71"/>
  <c r="C41" i="71"/>
  <c r="C37" i="71"/>
  <c r="L567" i="83"/>
  <c r="M567" i="83" s="1"/>
  <c r="L523" i="83"/>
  <c r="M523" i="83" s="1"/>
  <c r="L346" i="83"/>
  <c r="M346" i="83" s="1"/>
  <c r="L500" i="83"/>
  <c r="M500" i="83" s="1"/>
  <c r="L36" i="83"/>
  <c r="M36" i="83" s="1"/>
  <c r="K18" i="1"/>
  <c r="L343" i="83"/>
  <c r="M343" i="83" s="1"/>
  <c r="L431" i="83"/>
  <c r="M431" i="83" s="1"/>
  <c r="L446" i="83"/>
  <c r="M446" i="83" s="1"/>
  <c r="L450" i="83"/>
  <c r="M450" i="83" s="1"/>
  <c r="L457" i="83"/>
  <c r="M457" i="83" s="1"/>
  <c r="L177" i="83"/>
  <c r="M177" i="83" s="1"/>
  <c r="L488" i="83"/>
  <c r="M488" i="83" s="1"/>
  <c r="L411" i="83"/>
  <c r="M411" i="83" s="1"/>
  <c r="L261" i="83"/>
  <c r="M261" i="83" s="1"/>
  <c r="E12" i="71"/>
  <c r="L403" i="83"/>
  <c r="M403" i="83" s="1"/>
  <c r="L281" i="83"/>
  <c r="M281" i="83" s="1"/>
  <c r="L304" i="83"/>
  <c r="M304" i="83" s="1"/>
  <c r="L314" i="83"/>
  <c r="M314" i="83" s="1"/>
  <c r="L419" i="83"/>
  <c r="M419" i="83" s="1"/>
  <c r="L429" i="83"/>
  <c r="M429" i="83" s="1"/>
  <c r="L440" i="83"/>
  <c r="M440" i="83" s="1"/>
  <c r="E36" i="71"/>
  <c r="L511" i="83"/>
  <c r="M511" i="83" s="1"/>
  <c r="L389" i="83"/>
  <c r="M389" i="83" s="1"/>
  <c r="F44" i="71"/>
  <c r="L101" i="83"/>
  <c r="M101" i="83" s="1"/>
  <c r="L221" i="83"/>
  <c r="M221" i="83" s="1"/>
  <c r="L170" i="83"/>
  <c r="M170" i="83" s="1"/>
  <c r="K6" i="1"/>
  <c r="L244" i="83"/>
  <c r="M244" i="83" s="1"/>
  <c r="L262" i="83"/>
  <c r="M262" i="83" s="1"/>
  <c r="L277" i="83"/>
  <c r="M277" i="83" s="1"/>
  <c r="L279" i="83"/>
  <c r="M279" i="83" s="1"/>
  <c r="L273" i="83"/>
  <c r="M273" i="83" s="1"/>
  <c r="L322" i="83"/>
  <c r="M322" i="83" s="1"/>
  <c r="L315" i="83"/>
  <c r="M315" i="83" s="1"/>
  <c r="L325" i="83"/>
  <c r="M325" i="83" s="1"/>
  <c r="L24" i="83"/>
  <c r="M24" i="83" s="1"/>
  <c r="L138" i="83"/>
  <c r="M138" i="83" s="1"/>
  <c r="L422" i="83"/>
  <c r="M422" i="83" s="1"/>
  <c r="L427" i="83"/>
  <c r="M427" i="83" s="1"/>
  <c r="L402" i="83"/>
  <c r="M402" i="83" s="1"/>
  <c r="L407" i="83"/>
  <c r="M407" i="83" s="1"/>
  <c r="L455" i="83"/>
  <c r="M455" i="83" s="1"/>
  <c r="L568" i="83"/>
  <c r="M568" i="83" s="1"/>
  <c r="L56" i="83"/>
  <c r="M56" i="83" s="1"/>
  <c r="E7" i="71"/>
  <c r="L366" i="83"/>
  <c r="M366" i="83" s="1"/>
  <c r="L94" i="83"/>
  <c r="M94" i="83" s="1"/>
  <c r="L423" i="83"/>
  <c r="M423" i="83" s="1"/>
  <c r="L456" i="83"/>
  <c r="M456" i="83" s="1"/>
  <c r="L478" i="83"/>
  <c r="M478" i="83" s="1"/>
  <c r="G60" i="71"/>
  <c r="L87" i="83"/>
  <c r="M87" i="83" s="1"/>
  <c r="L140" i="83"/>
  <c r="M140" i="83" s="1"/>
  <c r="L300" i="83"/>
  <c r="M300" i="83" s="1"/>
  <c r="L377" i="83"/>
  <c r="M377" i="83" s="1"/>
  <c r="L174" i="83"/>
  <c r="M174" i="83" s="1"/>
  <c r="L375" i="83"/>
  <c r="M375" i="83" s="1"/>
  <c r="L58" i="83"/>
  <c r="M58" i="83" s="1"/>
  <c r="L198" i="83"/>
  <c r="M198" i="83" s="1"/>
  <c r="L494" i="83"/>
  <c r="M494" i="83" s="1"/>
  <c r="G22" i="71"/>
  <c r="F56" i="71"/>
  <c r="L42" i="83"/>
  <c r="M42" i="83" s="1"/>
  <c r="L340" i="83"/>
  <c r="M340" i="83" s="1"/>
  <c r="L53" i="83"/>
  <c r="M53" i="83" s="1"/>
  <c r="G57" i="71"/>
  <c r="L416" i="83"/>
  <c r="M416" i="83" s="1"/>
  <c r="L557" i="83"/>
  <c r="M557" i="83" s="1"/>
  <c r="L319" i="83"/>
  <c r="M319" i="83" s="1"/>
  <c r="L132" i="83"/>
  <c r="M132" i="83" s="1"/>
  <c r="L102" i="83"/>
  <c r="M102" i="83" s="1"/>
  <c r="L147" i="83"/>
  <c r="M147" i="83" s="1"/>
  <c r="E20" i="71"/>
  <c r="L181" i="83"/>
  <c r="M181" i="83" s="1"/>
  <c r="L265" i="83"/>
  <c r="M265" i="83" s="1"/>
  <c r="L363" i="83"/>
  <c r="M363" i="83" s="1"/>
  <c r="L405" i="83"/>
  <c r="M405" i="83" s="1"/>
  <c r="F38" i="71"/>
  <c r="E8" i="71"/>
  <c r="G23" i="71"/>
  <c r="B55" i="71"/>
  <c r="B54" i="71"/>
  <c r="B49" i="71"/>
  <c r="E45" i="71"/>
  <c r="B42" i="71"/>
  <c r="E38" i="71"/>
  <c r="B35" i="71"/>
  <c r="B31" i="71"/>
  <c r="E28" i="71"/>
  <c r="E26" i="71"/>
  <c r="B24" i="71"/>
  <c r="E22" i="71"/>
  <c r="C18" i="71"/>
  <c r="E5" i="71"/>
  <c r="B8" i="71"/>
  <c r="E58" i="71"/>
  <c r="E51" i="71"/>
  <c r="E48" i="71"/>
  <c r="B45" i="71"/>
  <c r="F41" i="71"/>
  <c r="B38" i="71"/>
  <c r="E34" i="71"/>
  <c r="E30" i="71"/>
  <c r="B28" i="71"/>
  <c r="B26" i="71"/>
  <c r="F23" i="71"/>
  <c r="B22" i="71"/>
  <c r="E18" i="71"/>
  <c r="B15" i="71"/>
  <c r="C12" i="71"/>
  <c r="B5" i="71"/>
  <c r="C7" i="71"/>
  <c r="C6" i="71"/>
  <c r="C57" i="71"/>
  <c r="C56" i="71"/>
  <c r="E53" i="71"/>
  <c r="E33" i="71"/>
  <c r="C47" i="71"/>
  <c r="E44" i="71"/>
  <c r="B41" i="71"/>
  <c r="B36" i="71"/>
  <c r="C29" i="71"/>
  <c r="C27" i="71"/>
  <c r="C25" i="71"/>
  <c r="E23" i="71"/>
  <c r="B20" i="71"/>
  <c r="E17" i="71"/>
  <c r="E14" i="71"/>
  <c r="B12" i="71"/>
  <c r="E9" i="71"/>
  <c r="B7" i="71"/>
  <c r="F60" i="71"/>
  <c r="F33" i="71"/>
  <c r="F49" i="71"/>
  <c r="F39" i="71"/>
  <c r="F36" i="71"/>
  <c r="F30" i="71"/>
  <c r="F20" i="71"/>
  <c r="C55" i="71"/>
  <c r="C10" i="71"/>
  <c r="C46" i="71"/>
  <c r="C52" i="71"/>
  <c r="C21" i="71"/>
  <c r="C34" i="71"/>
  <c r="C38" i="71"/>
  <c r="E57" i="71"/>
  <c r="E56" i="71"/>
  <c r="B53" i="71"/>
  <c r="B33" i="71"/>
  <c r="B44" i="71"/>
  <c r="E40" i="71"/>
  <c r="E37" i="71"/>
  <c r="C32" i="71"/>
  <c r="E29" i="71"/>
  <c r="E27" i="71"/>
  <c r="E25" i="71"/>
  <c r="B23" i="71"/>
  <c r="F19" i="71"/>
  <c r="B17" i="71"/>
  <c r="B14" i="71"/>
  <c r="E11" i="71"/>
  <c r="B9" i="71"/>
  <c r="F58" i="71"/>
  <c r="F43" i="71"/>
  <c r="F47" i="71"/>
  <c r="F22" i="71"/>
  <c r="F11" i="71"/>
  <c r="F14" i="71"/>
  <c r="C11" i="71"/>
  <c r="C60" i="71"/>
  <c r="B57" i="71"/>
  <c r="B56" i="71"/>
  <c r="F52" i="71"/>
  <c r="B47" i="71"/>
  <c r="E43" i="71"/>
  <c r="B40" i="71"/>
  <c r="B37" i="71"/>
  <c r="E32" i="71"/>
  <c r="B29" i="71"/>
  <c r="B27" i="71"/>
  <c r="B25" i="71"/>
  <c r="E21" i="71"/>
  <c r="C19" i="71"/>
  <c r="C16" i="71"/>
  <c r="C13" i="71"/>
  <c r="B11" i="71"/>
  <c r="F8" i="71"/>
  <c r="C17" i="71"/>
  <c r="C39" i="71"/>
  <c r="E60" i="71"/>
  <c r="F55" i="71"/>
  <c r="C54" i="71"/>
  <c r="E52" i="71"/>
  <c r="C49" i="71"/>
  <c r="E46" i="71"/>
  <c r="B43" i="71"/>
  <c r="E39" i="71"/>
  <c r="C35" i="71"/>
  <c r="B32" i="71"/>
  <c r="F28" i="71"/>
  <c r="F26" i="71"/>
  <c r="C24" i="71"/>
  <c r="B21" i="71"/>
  <c r="E19" i="71"/>
  <c r="E16" i="71"/>
  <c r="E13" i="71"/>
  <c r="E10" i="71"/>
  <c r="C8" i="71"/>
  <c r="F57" i="71"/>
  <c r="F54" i="71"/>
  <c r="F53" i="71"/>
  <c r="F9" i="71"/>
  <c r="B60" i="71"/>
  <c r="E55" i="71"/>
  <c r="E54" i="71"/>
  <c r="B52" i="71"/>
  <c r="E49" i="71"/>
  <c r="B46" i="71"/>
  <c r="E42" i="71"/>
  <c r="B39" i="71"/>
  <c r="E35" i="71"/>
  <c r="E31" i="71"/>
  <c r="C28" i="71"/>
  <c r="C26" i="71"/>
  <c r="E24" i="71"/>
  <c r="C22" i="71"/>
  <c r="B19" i="71"/>
  <c r="B16" i="71"/>
  <c r="B13" i="71"/>
  <c r="B10" i="71"/>
  <c r="C58" i="71"/>
  <c r="L229" i="83"/>
  <c r="M229" i="83" s="1"/>
  <c r="F48" i="71"/>
  <c r="F35" i="71"/>
  <c r="C33" i="71"/>
  <c r="C36" i="71"/>
  <c r="F42" i="71"/>
  <c r="F31" i="71"/>
  <c r="F34" i="71"/>
  <c r="F24" i="71"/>
  <c r="F18" i="71"/>
  <c r="F5" i="71"/>
  <c r="C51" i="71"/>
  <c r="C44" i="71"/>
  <c r="C40" i="71"/>
  <c r="E6" i="71"/>
  <c r="F45" i="71"/>
  <c r="F46" i="71"/>
  <c r="F21" i="71"/>
  <c r="F17" i="71"/>
  <c r="F6" i="71"/>
  <c r="C45" i="71"/>
  <c r="C30" i="71"/>
  <c r="C5" i="71"/>
  <c r="F51" i="71"/>
  <c r="F37" i="71"/>
  <c r="F32" i="71"/>
  <c r="F10" i="71"/>
  <c r="F16" i="71"/>
  <c r="F13" i="71"/>
  <c r="AV17" i="1"/>
  <c r="C43" i="71"/>
  <c r="C48" i="71"/>
  <c r="C20" i="71"/>
  <c r="C42" i="71"/>
  <c r="C31" i="71"/>
  <c r="AY15" i="1"/>
  <c r="F40" i="71"/>
  <c r="F29" i="71"/>
  <c r="F12" i="71"/>
  <c r="F7" i="71"/>
  <c r="B6" i="71"/>
  <c r="L3" i="83"/>
  <c r="M3" i="83" s="1"/>
  <c r="L40" i="83"/>
  <c r="M40" i="83" s="1"/>
  <c r="L513" i="83"/>
  <c r="M513" i="83" s="1"/>
  <c r="L203" i="83"/>
  <c r="M203" i="83" s="1"/>
  <c r="L104" i="83"/>
  <c r="M104" i="83" s="1"/>
  <c r="L84" i="83"/>
  <c r="M84" i="83" s="1"/>
  <c r="AV10" i="1"/>
  <c r="AY6" i="1"/>
  <c r="AV18" i="1"/>
  <c r="BF127" i="1" l="1"/>
  <c r="L223" i="83"/>
  <c r="M223" i="83" s="1"/>
  <c r="L318" i="83"/>
  <c r="M318" i="83" s="1"/>
  <c r="R13" i="1"/>
  <c r="R14" i="1"/>
  <c r="S6" i="1"/>
  <c r="R6" i="1"/>
  <c r="S154" i="1"/>
  <c r="S12" i="1"/>
  <c r="S153" i="1"/>
  <c r="BE162" i="1"/>
  <c r="R10" i="1"/>
  <c r="S9" i="1"/>
  <c r="R12" i="1"/>
  <c r="BE322" i="1"/>
  <c r="D23" i="139"/>
  <c r="L414" i="83"/>
  <c r="M414" i="83" s="1"/>
  <c r="L231" i="83"/>
  <c r="M231" i="83" s="1"/>
  <c r="L401" i="83"/>
  <c r="M401" i="83" s="1"/>
  <c r="L243" i="83"/>
  <c r="M243" i="83" s="1"/>
  <c r="L17" i="139"/>
  <c r="BF15" i="1"/>
  <c r="S7" i="1"/>
  <c r="R18" i="1"/>
  <c r="S17" i="1"/>
  <c r="S16" i="1"/>
  <c r="R7" i="1"/>
  <c r="S15" i="1"/>
  <c r="R15" i="1"/>
  <c r="BF17" i="1"/>
  <c r="BF12" i="1"/>
  <c r="BF7" i="1"/>
  <c r="R8" i="1"/>
  <c r="R17" i="1"/>
  <c r="S8" i="1"/>
  <c r="H59" i="71"/>
  <c r="T398" i="1" s="1"/>
  <c r="D17" i="139"/>
  <c r="Q4" i="139"/>
  <c r="Q8" i="139"/>
  <c r="F2" i="139"/>
  <c r="L113" i="83"/>
  <c r="M113" i="83" s="1"/>
  <c r="M2" i="139"/>
  <c r="I8" i="139"/>
  <c r="J8" i="139"/>
  <c r="K8" i="139" s="1"/>
  <c r="BE17" i="1"/>
  <c r="D36" i="139"/>
  <c r="D45" i="139"/>
  <c r="D50" i="139"/>
  <c r="D27" i="139"/>
  <c r="D29" i="139"/>
  <c r="D38" i="139"/>
  <c r="D54" i="139"/>
  <c r="BE12" i="1"/>
  <c r="D16" i="139"/>
  <c r="D40" i="139"/>
  <c r="D57" i="139"/>
  <c r="D21" i="139"/>
  <c r="D18" i="139"/>
  <c r="BE10" i="1"/>
  <c r="D55" i="139"/>
  <c r="D53" i="139"/>
  <c r="D25" i="139"/>
  <c r="D58" i="139"/>
  <c r="D47" i="139"/>
  <c r="D19" i="139"/>
  <c r="D42" i="139"/>
  <c r="D52" i="139"/>
  <c r="D32" i="139"/>
  <c r="D34" i="139"/>
  <c r="D48" i="139"/>
  <c r="D24" i="139"/>
  <c r="D20" i="139"/>
  <c r="D43" i="139"/>
  <c r="D30" i="139"/>
  <c r="E2" i="139"/>
  <c r="H58" i="71"/>
  <c r="T393" i="1" s="1"/>
  <c r="D45" i="71"/>
  <c r="AV4" i="1"/>
  <c r="BE6" i="1"/>
  <c r="AZ4" i="1"/>
  <c r="AY4" i="1"/>
  <c r="N4" i="1"/>
  <c r="K4" i="1"/>
  <c r="L217" i="83"/>
  <c r="M217" i="83" s="1"/>
  <c r="L308" i="83"/>
  <c r="M308" i="83" s="1"/>
  <c r="L227" i="83"/>
  <c r="M227" i="83" s="1"/>
  <c r="L280" i="83"/>
  <c r="M280" i="83" s="1"/>
  <c r="L260" i="83"/>
  <c r="M260" i="83" s="1"/>
  <c r="L468" i="83"/>
  <c r="M468" i="83" s="1"/>
  <c r="G14" i="71"/>
  <c r="D19" i="71"/>
  <c r="BF10" i="1"/>
  <c r="L58" i="139"/>
  <c r="L489" i="83"/>
  <c r="M489" i="83" s="1"/>
  <c r="L201" i="83"/>
  <c r="M201" i="83" s="1"/>
  <c r="L22" i="83"/>
  <c r="M22" i="83" s="1"/>
  <c r="L210" i="83"/>
  <c r="M210" i="83" s="1"/>
  <c r="L544" i="83"/>
  <c r="M544" i="83" s="1"/>
  <c r="L453" i="83"/>
  <c r="M453" i="83" s="1"/>
  <c r="L521" i="83"/>
  <c r="M521" i="83" s="1"/>
  <c r="G19" i="71"/>
  <c r="L410" i="83"/>
  <c r="M410" i="83" s="1"/>
  <c r="D9" i="71"/>
  <c r="D14" i="71"/>
  <c r="L200" i="83"/>
  <c r="M200" i="83" s="1"/>
  <c r="D8" i="71"/>
  <c r="D16" i="71"/>
  <c r="O61" i="71"/>
  <c r="L404" i="83"/>
  <c r="M404" i="83" s="1"/>
  <c r="H61" i="71"/>
  <c r="J61" i="71" s="1"/>
  <c r="L327" i="83"/>
  <c r="M327" i="83" s="1"/>
  <c r="L381" i="83"/>
  <c r="M381" i="83" s="1"/>
  <c r="L331" i="83"/>
  <c r="M331" i="83" s="1"/>
  <c r="L537" i="83"/>
  <c r="M537" i="83" s="1"/>
  <c r="L302" i="83"/>
  <c r="M302" i="83" s="1"/>
  <c r="L371" i="83"/>
  <c r="M371" i="83" s="1"/>
  <c r="L454" i="83"/>
  <c r="M454" i="83" s="1"/>
  <c r="L428" i="83"/>
  <c r="M428" i="83" s="1"/>
  <c r="L433" i="83"/>
  <c r="M433" i="83" s="1"/>
  <c r="L458" i="83"/>
  <c r="M458" i="83" s="1"/>
  <c r="L443" i="83"/>
  <c r="M443" i="83" s="1"/>
  <c r="I9" i="71"/>
  <c r="U292" i="1" s="1"/>
  <c r="L324" i="83"/>
  <c r="M324" i="83" s="1"/>
  <c r="D24" i="71"/>
  <c r="H51" i="71"/>
  <c r="G55" i="71"/>
  <c r="O50" i="71"/>
  <c r="BE11" i="1"/>
  <c r="D44" i="71"/>
  <c r="L9" i="139"/>
  <c r="BE7" i="1"/>
  <c r="D38" i="71"/>
  <c r="D40" i="71"/>
  <c r="D21" i="71"/>
  <c r="J4" i="139"/>
  <c r="I4" i="139"/>
  <c r="L127" i="83"/>
  <c r="M127" i="83" s="1"/>
  <c r="G32" i="71"/>
  <c r="L485" i="83"/>
  <c r="M485" i="83" s="1"/>
  <c r="D39" i="71"/>
  <c r="D11" i="71"/>
  <c r="D17" i="71"/>
  <c r="BE8" i="1"/>
  <c r="G35" i="71"/>
  <c r="BF11" i="1"/>
  <c r="BE16" i="1"/>
  <c r="L41" i="139"/>
  <c r="BE13" i="1"/>
  <c r="BE9" i="1"/>
  <c r="L60" i="139"/>
  <c r="L22" i="139"/>
  <c r="BF6" i="1"/>
  <c r="L57" i="139"/>
  <c r="L14" i="139"/>
  <c r="L23" i="139"/>
  <c r="L18" i="139"/>
  <c r="L28" i="139"/>
  <c r="BF16" i="1"/>
  <c r="L35" i="139"/>
  <c r="L37" i="139"/>
  <c r="L47" i="139"/>
  <c r="L10" i="139"/>
  <c r="L29" i="139"/>
  <c r="L33" i="139"/>
  <c r="L53" i="139"/>
  <c r="L48" i="139"/>
  <c r="L27" i="139"/>
  <c r="L12" i="139"/>
  <c r="BF8" i="1"/>
  <c r="L39" i="139"/>
  <c r="O7" i="139"/>
  <c r="O15" i="139"/>
  <c r="O33" i="139"/>
  <c r="P4" i="139"/>
  <c r="P8" i="139"/>
  <c r="Q16" i="1"/>
  <c r="D6" i="71"/>
  <c r="D46" i="71"/>
  <c r="D7" i="71"/>
  <c r="Q15" i="1"/>
  <c r="I10" i="71"/>
  <c r="H30" i="71"/>
  <c r="R16" i="1"/>
  <c r="D42" i="71"/>
  <c r="G29" i="71"/>
  <c r="I50" i="71"/>
  <c r="K50" i="71" s="1"/>
  <c r="I58" i="71"/>
  <c r="U393" i="1" s="1"/>
  <c r="H32" i="71"/>
  <c r="H48" i="71"/>
  <c r="H43" i="71"/>
  <c r="I53" i="71"/>
  <c r="U381" i="1" s="1"/>
  <c r="D20" i="71"/>
  <c r="D12" i="71"/>
  <c r="G37" i="71"/>
  <c r="D18" i="71"/>
  <c r="D34" i="71"/>
  <c r="D48" i="71"/>
  <c r="D13" i="71"/>
  <c r="D43" i="71"/>
  <c r="D30" i="71"/>
  <c r="D37" i="71"/>
  <c r="I14" i="71"/>
  <c r="L108" i="83"/>
  <c r="M108" i="83" s="1"/>
  <c r="G42" i="71"/>
  <c r="H34" i="71"/>
  <c r="Q7" i="1"/>
  <c r="G24" i="71"/>
  <c r="H18" i="71"/>
  <c r="Q8" i="1"/>
  <c r="Q17" i="1"/>
  <c r="H5" i="71"/>
  <c r="I17" i="71"/>
  <c r="H7" i="71"/>
  <c r="I19" i="71"/>
  <c r="U21" i="1" s="1"/>
  <c r="D15" i="71"/>
  <c r="I32" i="71"/>
  <c r="I27" i="71"/>
  <c r="U373" i="1" s="1"/>
  <c r="G51" i="71"/>
  <c r="G58" i="71"/>
  <c r="I36" i="71"/>
  <c r="I6" i="71"/>
  <c r="I30" i="71"/>
  <c r="H12" i="71"/>
  <c r="H22" i="71"/>
  <c r="T261" i="1" s="1"/>
  <c r="I24" i="71"/>
  <c r="I5" i="71"/>
  <c r="H35" i="71"/>
  <c r="D31" i="71"/>
  <c r="I25" i="71"/>
  <c r="U147" i="1" s="1"/>
  <c r="I49" i="71"/>
  <c r="I46" i="71"/>
  <c r="H27" i="71"/>
  <c r="T373" i="1" s="1"/>
  <c r="H47" i="71"/>
  <c r="T280" i="1" s="1"/>
  <c r="H29" i="71"/>
  <c r="H25" i="71"/>
  <c r="T147" i="1" s="1"/>
  <c r="I61" i="71"/>
  <c r="K61" i="71" s="1"/>
  <c r="D5" i="71"/>
  <c r="I12" i="71"/>
  <c r="I23" i="71"/>
  <c r="U66" i="1" s="1"/>
  <c r="G44" i="71"/>
  <c r="G43" i="71"/>
  <c r="I44" i="71"/>
  <c r="I26" i="71"/>
  <c r="U293" i="1" s="1"/>
  <c r="H52" i="71"/>
  <c r="T388" i="1" s="1"/>
  <c r="H57" i="71"/>
  <c r="T396" i="1" s="1"/>
  <c r="I43" i="71"/>
  <c r="H38" i="71"/>
  <c r="G21" i="71"/>
  <c r="I55" i="71"/>
  <c r="U391" i="1" s="1"/>
  <c r="H41" i="71"/>
  <c r="T367" i="1" s="1"/>
  <c r="H55" i="71"/>
  <c r="T391" i="1" s="1"/>
  <c r="I7" i="71"/>
  <c r="H8" i="71"/>
  <c r="T316" i="1" s="1"/>
  <c r="L466" i="83"/>
  <c r="M466" i="83" s="1"/>
  <c r="L105" i="83"/>
  <c r="M105" i="83" s="1"/>
  <c r="Q3" i="71"/>
  <c r="I37" i="71"/>
  <c r="G45" i="71"/>
  <c r="H50" i="71"/>
  <c r="J50" i="71" s="1"/>
  <c r="O31" i="139"/>
  <c r="I28" i="71"/>
  <c r="U187" i="1" s="1"/>
  <c r="I29" i="71"/>
  <c r="I57" i="71"/>
  <c r="U396" i="1" s="1"/>
  <c r="H31" i="71"/>
  <c r="H37" i="71"/>
  <c r="H14" i="71"/>
  <c r="H45" i="71"/>
  <c r="I38" i="71"/>
  <c r="H39" i="71"/>
  <c r="I16" i="71"/>
  <c r="H11" i="71"/>
  <c r="I39" i="71"/>
  <c r="H17" i="71"/>
  <c r="H44" i="71"/>
  <c r="H26" i="71"/>
  <c r="T293" i="1" s="1"/>
  <c r="H54" i="71"/>
  <c r="T397" i="1" s="1"/>
  <c r="G17" i="71"/>
  <c r="F15" i="71"/>
  <c r="I15" i="71" s="1"/>
  <c r="I20" i="71"/>
  <c r="G38" i="71"/>
  <c r="H60" i="71"/>
  <c r="T394" i="1" s="1"/>
  <c r="I34" i="71"/>
  <c r="H24" i="71"/>
  <c r="H49" i="71"/>
  <c r="I56" i="71"/>
  <c r="U395" i="1" s="1"/>
  <c r="G30" i="71"/>
  <c r="H16" i="71"/>
  <c r="I47" i="71"/>
  <c r="U280" i="1" s="1"/>
  <c r="H28" i="71"/>
  <c r="T187" i="1" s="1"/>
  <c r="H36" i="71"/>
  <c r="I59" i="71"/>
  <c r="U398" i="1" s="1"/>
  <c r="B3" i="71"/>
  <c r="G31" i="71"/>
  <c r="G7" i="71"/>
  <c r="G5" i="71"/>
  <c r="I21" i="71"/>
  <c r="L263" i="83"/>
  <c r="M263" i="83" s="1"/>
  <c r="H42" i="71"/>
  <c r="H46" i="71"/>
  <c r="H21" i="71"/>
  <c r="I11" i="71"/>
  <c r="H40" i="71"/>
  <c r="H23" i="71"/>
  <c r="T66" i="1" s="1"/>
  <c r="H33" i="71"/>
  <c r="I54" i="71"/>
  <c r="U397" i="1" s="1"/>
  <c r="I52" i="71"/>
  <c r="U388" i="1" s="1"/>
  <c r="I60" i="71"/>
  <c r="U394" i="1" s="1"/>
  <c r="H53" i="71"/>
  <c r="T381" i="1" s="1"/>
  <c r="I35" i="71"/>
  <c r="I13" i="71"/>
  <c r="I45" i="71"/>
  <c r="I18" i="71"/>
  <c r="G33" i="71"/>
  <c r="G49" i="71"/>
  <c r="L288" i="83"/>
  <c r="M288" i="83" s="1"/>
  <c r="G11" i="71"/>
  <c r="H9" i="71"/>
  <c r="T292" i="1" s="1"/>
  <c r="H6" i="71"/>
  <c r="I8" i="71"/>
  <c r="U316" i="1" s="1"/>
  <c r="H10" i="71"/>
  <c r="I41" i="71"/>
  <c r="U367" i="1" s="1"/>
  <c r="H20" i="71"/>
  <c r="G40" i="71"/>
  <c r="G13" i="71"/>
  <c r="G34" i="71"/>
  <c r="E15" i="71"/>
  <c r="H15" i="71" s="1"/>
  <c r="G10" i="71"/>
  <c r="G12" i="71"/>
  <c r="G39" i="71"/>
  <c r="G48" i="71"/>
  <c r="I33" i="71"/>
  <c r="G6" i="71"/>
  <c r="G36" i="71"/>
  <c r="G20" i="71"/>
  <c r="I48" i="71"/>
  <c r="H19" i="71"/>
  <c r="T21" i="1" s="1"/>
  <c r="L467" i="83"/>
  <c r="M467" i="83" s="1"/>
  <c r="G16" i="71"/>
  <c r="G46" i="71"/>
  <c r="L545" i="83"/>
  <c r="M545" i="83" s="1"/>
  <c r="G28" i="71"/>
  <c r="L295" i="83"/>
  <c r="M295" i="83" s="1"/>
  <c r="O5" i="139"/>
  <c r="H13" i="71"/>
  <c r="O10" i="139"/>
  <c r="G18" i="71"/>
  <c r="H56" i="71"/>
  <c r="T395" i="1" s="1"/>
  <c r="I31" i="71"/>
  <c r="I51" i="71"/>
  <c r="I40" i="71"/>
  <c r="I42" i="71"/>
  <c r="I22" i="71"/>
  <c r="U261" i="1" s="1"/>
  <c r="C3" i="71"/>
  <c r="V66" i="1" l="1"/>
  <c r="W397" i="1"/>
  <c r="W398" i="1"/>
  <c r="W391" i="1"/>
  <c r="W293" i="1"/>
  <c r="V261" i="1"/>
  <c r="W66" i="1"/>
  <c r="W261" i="1"/>
  <c r="W187" i="1"/>
  <c r="V187" i="1"/>
  <c r="V147" i="1"/>
  <c r="W394" i="1"/>
  <c r="W373" i="1"/>
  <c r="V395" i="1"/>
  <c r="V21" i="1"/>
  <c r="W367" i="1"/>
  <c r="V292" i="1"/>
  <c r="W280" i="1"/>
  <c r="V394" i="1"/>
  <c r="V391" i="1"/>
  <c r="V381" i="1"/>
  <c r="V316" i="1"/>
  <c r="W147" i="1"/>
  <c r="W21" i="1"/>
  <c r="W292" i="1"/>
  <c r="V393" i="1"/>
  <c r="BB393" i="1" s="1"/>
  <c r="V398" i="1"/>
  <c r="V397" i="1"/>
  <c r="V367" i="1"/>
  <c r="V396" i="1"/>
  <c r="V280" i="1"/>
  <c r="BB280" i="1" s="1"/>
  <c r="W393" i="1"/>
  <c r="W316" i="1"/>
  <c r="W388" i="1"/>
  <c r="W395" i="1"/>
  <c r="V293" i="1"/>
  <c r="W396" i="1"/>
  <c r="V388" i="1"/>
  <c r="V373" i="1"/>
  <c r="W381" i="1"/>
  <c r="Q12" i="1"/>
  <c r="R11" i="1"/>
  <c r="S11" i="1"/>
  <c r="AD11" i="1"/>
  <c r="BB395" i="1"/>
  <c r="AC316" i="1"/>
  <c r="AE316" i="1" s="1"/>
  <c r="AC66" i="1"/>
  <c r="AE66" i="1" s="1"/>
  <c r="BB66" i="1"/>
  <c r="S162" i="1"/>
  <c r="S322" i="1"/>
  <c r="BB261" i="1"/>
  <c r="AC261" i="1"/>
  <c r="AE261" i="1" s="1"/>
  <c r="Q6" i="1"/>
  <c r="Q11" i="1"/>
  <c r="Q9" i="1"/>
  <c r="O4" i="1"/>
  <c r="R9" i="1"/>
  <c r="R322" i="1"/>
  <c r="Q322" i="1"/>
  <c r="S14" i="1"/>
  <c r="R154" i="1"/>
  <c r="Q154" i="1"/>
  <c r="R153" i="1"/>
  <c r="Q153" i="1"/>
  <c r="R21" i="1"/>
  <c r="S10" i="1"/>
  <c r="R127" i="1"/>
  <c r="R162" i="1"/>
  <c r="Q162" i="1"/>
  <c r="BF21" i="1"/>
  <c r="U274" i="1"/>
  <c r="U214" i="1"/>
  <c r="U363" i="1"/>
  <c r="U200" i="1"/>
  <c r="U155" i="1"/>
  <c r="U269" i="1"/>
  <c r="T353" i="1"/>
  <c r="T370" i="1"/>
  <c r="T255" i="1"/>
  <c r="T256" i="1"/>
  <c r="T374" i="1"/>
  <c r="T258" i="1"/>
  <c r="U244" i="1"/>
  <c r="U278" i="1"/>
  <c r="U133" i="1"/>
  <c r="U254" i="1"/>
  <c r="U271" i="1"/>
  <c r="U228" i="1"/>
  <c r="U98" i="1"/>
  <c r="U192" i="1"/>
  <c r="U376" i="1"/>
  <c r="U312" i="1"/>
  <c r="U158" i="1"/>
  <c r="U160" i="1"/>
  <c r="U146" i="1"/>
  <c r="U82" i="1"/>
  <c r="T347" i="1"/>
  <c r="T83" i="1"/>
  <c r="T30" i="1"/>
  <c r="T85" i="1"/>
  <c r="T168" i="1"/>
  <c r="T348" i="1"/>
  <c r="T279" i="1"/>
  <c r="T163" i="1"/>
  <c r="T81" i="1"/>
  <c r="T360" i="1"/>
  <c r="T148" i="1"/>
  <c r="T149" i="1"/>
  <c r="T277" i="1"/>
  <c r="T25" i="1"/>
  <c r="T27" i="1"/>
  <c r="T368" i="1"/>
  <c r="T170" i="1"/>
  <c r="T206" i="1"/>
  <c r="T263" i="1"/>
  <c r="U162" i="1"/>
  <c r="U357" i="1"/>
  <c r="T376" i="1"/>
  <c r="T312" i="1"/>
  <c r="T158" i="1"/>
  <c r="T146" i="1"/>
  <c r="T82" i="1"/>
  <c r="T160" i="1"/>
  <c r="U184" i="1"/>
  <c r="U154" i="1"/>
  <c r="U185" i="1"/>
  <c r="U227" i="1"/>
  <c r="T221" i="1"/>
  <c r="T93" i="1"/>
  <c r="T250" i="1"/>
  <c r="T224" i="1"/>
  <c r="T96" i="1"/>
  <c r="T326" i="1"/>
  <c r="T317" i="1"/>
  <c r="T257" i="1"/>
  <c r="T97" i="1"/>
  <c r="T33" i="1"/>
  <c r="T94" i="1"/>
  <c r="T220" i="1"/>
  <c r="T73" i="1"/>
  <c r="T115" i="1"/>
  <c r="T226" i="1"/>
  <c r="T208" i="1"/>
  <c r="T71" i="1"/>
  <c r="T77" i="1"/>
  <c r="T247" i="1"/>
  <c r="T325" i="1"/>
  <c r="T218" i="1"/>
  <c r="T72" i="1"/>
  <c r="T132" i="1"/>
  <c r="T100" i="1"/>
  <c r="T207" i="1"/>
  <c r="T110" i="1"/>
  <c r="T78" i="1"/>
  <c r="T92" i="1"/>
  <c r="T101" i="1"/>
  <c r="T37" i="1"/>
  <c r="T104" i="1"/>
  <c r="U362" i="1"/>
  <c r="U29" i="1"/>
  <c r="U22" i="1"/>
  <c r="U259" i="1"/>
  <c r="U164" i="1"/>
  <c r="T24" i="1"/>
  <c r="T23" i="1"/>
  <c r="U102" i="1"/>
  <c r="U251" i="1"/>
  <c r="U74" i="1"/>
  <c r="T392" i="1"/>
  <c r="T384" i="1"/>
  <c r="T390" i="1"/>
  <c r="T389" i="1"/>
  <c r="U216" i="1"/>
  <c r="U157" i="1"/>
  <c r="U327" i="1"/>
  <c r="T186" i="1"/>
  <c r="T80" i="1"/>
  <c r="T269" i="1"/>
  <c r="T155" i="1"/>
  <c r="U248" i="1"/>
  <c r="U120" i="1"/>
  <c r="U88" i="1"/>
  <c r="U385" i="1"/>
  <c r="U223" i="1"/>
  <c r="U31" i="1"/>
  <c r="U91" i="1"/>
  <c r="U34" i="1"/>
  <c r="U40" i="1"/>
  <c r="U211" i="1"/>
  <c r="U212" i="1"/>
  <c r="U116" i="1"/>
  <c r="U90" i="1"/>
  <c r="U249" i="1"/>
  <c r="U89" i="1"/>
  <c r="U95" i="1"/>
  <c r="U246" i="1"/>
  <c r="U118" i="1"/>
  <c r="U299" i="1"/>
  <c r="U354" i="1"/>
  <c r="U112" i="1"/>
  <c r="U107" i="1"/>
  <c r="U43" i="1"/>
  <c r="U108" i="1"/>
  <c r="U210" i="1"/>
  <c r="U209" i="1"/>
  <c r="U219" i="1"/>
  <c r="U109" i="1"/>
  <c r="U99" i="1"/>
  <c r="U106" i="1"/>
  <c r="U42" i="1"/>
  <c r="U41" i="1"/>
  <c r="U291" i="1"/>
  <c r="U111" i="1"/>
  <c r="T244" i="1"/>
  <c r="T254" i="1"/>
  <c r="T278" i="1"/>
  <c r="T228" i="1"/>
  <c r="T271" i="1"/>
  <c r="T192" i="1"/>
  <c r="T98" i="1"/>
  <c r="T133" i="1"/>
  <c r="T298" i="1"/>
  <c r="T386" i="1"/>
  <c r="T378" i="1"/>
  <c r="T180" i="1"/>
  <c r="T26" i="1"/>
  <c r="T324" i="1"/>
  <c r="T371" i="1"/>
  <c r="T319" i="1"/>
  <c r="T127" i="1"/>
  <c r="T318" i="1"/>
  <c r="T252" i="1"/>
  <c r="T204" i="1"/>
  <c r="T313" i="1"/>
  <c r="T205" i="1"/>
  <c r="T203" i="1"/>
  <c r="T375" i="1"/>
  <c r="T151" i="1"/>
  <c r="T87" i="1"/>
  <c r="T156" i="1"/>
  <c r="T301" i="1"/>
  <c r="T113" i="1"/>
  <c r="T125" i="1"/>
  <c r="T61" i="1"/>
  <c r="T103" i="1"/>
  <c r="T52" i="1"/>
  <c r="T159" i="1"/>
  <c r="T124" i="1"/>
  <c r="T119" i="1"/>
  <c r="T123" i="1"/>
  <c r="T202" i="1"/>
  <c r="T79" i="1"/>
  <c r="T323" i="1"/>
  <c r="U268" i="1"/>
  <c r="U63" i="1"/>
  <c r="U122" i="1"/>
  <c r="U117" i="1"/>
  <c r="U53" i="1"/>
  <c r="U126" i="1"/>
  <c r="U75" i="1"/>
  <c r="U69" i="1"/>
  <c r="U236" i="1"/>
  <c r="U241" i="1"/>
  <c r="U237" i="1"/>
  <c r="U68" i="1"/>
  <c r="U105" i="1"/>
  <c r="U65" i="1"/>
  <c r="U64" i="1"/>
  <c r="U67" i="1"/>
  <c r="U361" i="1"/>
  <c r="U239" i="1"/>
  <c r="U70" i="1"/>
  <c r="U62" i="1"/>
  <c r="T266" i="1"/>
  <c r="T39" i="1"/>
  <c r="T350" i="1"/>
  <c r="U351" i="1"/>
  <c r="U287" i="1"/>
  <c r="U54" i="1"/>
  <c r="U245" i="1"/>
  <c r="U76" i="1"/>
  <c r="U55" i="1"/>
  <c r="U45" i="1"/>
  <c r="U276" i="1"/>
  <c r="U322" i="1"/>
  <c r="T362" i="1"/>
  <c r="T29" i="1"/>
  <c r="T22" i="1"/>
  <c r="T164" i="1"/>
  <c r="T259" i="1"/>
  <c r="T311" i="1"/>
  <c r="T297" i="1"/>
  <c r="T131" i="1"/>
  <c r="T251" i="1"/>
  <c r="T102" i="1"/>
  <c r="T74" i="1"/>
  <c r="U58" i="1"/>
  <c r="U121" i="1"/>
  <c r="U59" i="1"/>
  <c r="U32" i="1"/>
  <c r="U114" i="1"/>
  <c r="U234" i="1"/>
  <c r="U306" i="1"/>
  <c r="U304" i="1"/>
  <c r="U176" i="1"/>
  <c r="U307" i="1"/>
  <c r="U194" i="1"/>
  <c r="U242" i="1"/>
  <c r="U309" i="1"/>
  <c r="U321" i="1"/>
  <c r="U235" i="1"/>
  <c r="U171" i="1"/>
  <c r="U290" i="1"/>
  <c r="U240" i="1"/>
  <c r="U172" i="1"/>
  <c r="U178" i="1"/>
  <c r="U305" i="1"/>
  <c r="U177" i="1"/>
  <c r="U145" i="1"/>
  <c r="U302" i="1"/>
  <c r="U238" i="1"/>
  <c r="U197" i="1"/>
  <c r="U165" i="1"/>
  <c r="U167" i="1"/>
  <c r="U173" i="1"/>
  <c r="U308" i="1"/>
  <c r="U195" i="1"/>
  <c r="U169" i="1"/>
  <c r="U230" i="1"/>
  <c r="U166" i="1"/>
  <c r="U232" i="1"/>
  <c r="U144" i="1"/>
  <c r="U196" i="1"/>
  <c r="U303" i="1"/>
  <c r="U198" i="1"/>
  <c r="U161" i="1"/>
  <c r="U125" i="1"/>
  <c r="U61" i="1"/>
  <c r="U124" i="1"/>
  <c r="U52" i="1"/>
  <c r="U159" i="1"/>
  <c r="U119" i="1"/>
  <c r="U103" i="1"/>
  <c r="U123" i="1"/>
  <c r="U323" i="1"/>
  <c r="U202" i="1"/>
  <c r="U79" i="1"/>
  <c r="U330" i="1"/>
  <c r="U182" i="1"/>
  <c r="U183" i="1"/>
  <c r="U181" i="1"/>
  <c r="U229" i="1"/>
  <c r="U222" i="1"/>
  <c r="U225" i="1"/>
  <c r="T346" i="1"/>
  <c r="T260" i="1"/>
  <c r="T286" i="1"/>
  <c r="T356" i="1"/>
  <c r="T50" i="1"/>
  <c r="T345" i="1"/>
  <c r="T217" i="1"/>
  <c r="T28" i="1"/>
  <c r="T215" i="1"/>
  <c r="T35" i="1"/>
  <c r="T49" i="1"/>
  <c r="U344" i="1"/>
  <c r="U56" i="1"/>
  <c r="U48" i="1"/>
  <c r="U349" i="1"/>
  <c r="U285" i="1"/>
  <c r="U193" i="1"/>
  <c r="U383" i="1"/>
  <c r="U191" i="1"/>
  <c r="U296" i="1"/>
  <c r="U128" i="1"/>
  <c r="U341" i="1"/>
  <c r="U19" i="1"/>
  <c r="U20" i="1"/>
  <c r="U377" i="1"/>
  <c r="U57" i="1"/>
  <c r="U150" i="1"/>
  <c r="U332" i="1"/>
  <c r="U359" i="1"/>
  <c r="U188" i="1"/>
  <c r="U129" i="1"/>
  <c r="U284" i="1"/>
  <c r="U331" i="1"/>
  <c r="U300" i="1"/>
  <c r="U295" i="1"/>
  <c r="U130" i="1"/>
  <c r="U328" i="1"/>
  <c r="U382" i="1"/>
  <c r="U310" i="1"/>
  <c r="U365" i="1"/>
  <c r="U333" i="1"/>
  <c r="U44" i="1"/>
  <c r="U337" i="1"/>
  <c r="U174" i="1"/>
  <c r="U334" i="1"/>
  <c r="U283" i="1"/>
  <c r="U372" i="1"/>
  <c r="U387" i="1"/>
  <c r="U329" i="1"/>
  <c r="U320" i="1"/>
  <c r="U355" i="1"/>
  <c r="U36" i="1"/>
  <c r="U233" i="1"/>
  <c r="U137" i="1"/>
  <c r="U175" i="1"/>
  <c r="U294" i="1"/>
  <c r="U134" i="1"/>
  <c r="U378" i="1"/>
  <c r="U298" i="1"/>
  <c r="U324" i="1"/>
  <c r="U371" i="1"/>
  <c r="U319" i="1"/>
  <c r="U127" i="1"/>
  <c r="U318" i="1"/>
  <c r="U180" i="1"/>
  <c r="U26" i="1"/>
  <c r="U313" i="1"/>
  <c r="U203" i="1"/>
  <c r="U375" i="1"/>
  <c r="U151" i="1"/>
  <c r="U87" i="1"/>
  <c r="U301" i="1"/>
  <c r="U252" i="1"/>
  <c r="U204" i="1"/>
  <c r="U113" i="1"/>
  <c r="U205" i="1"/>
  <c r="U386" i="1"/>
  <c r="U156" i="1"/>
  <c r="U277" i="1"/>
  <c r="U148" i="1"/>
  <c r="U25" i="1"/>
  <c r="U149" i="1"/>
  <c r="U263" i="1"/>
  <c r="U368" i="1"/>
  <c r="U206" i="1"/>
  <c r="U170" i="1"/>
  <c r="U27" i="1"/>
  <c r="U250" i="1"/>
  <c r="U218" i="1"/>
  <c r="U224" i="1"/>
  <c r="U96" i="1"/>
  <c r="U326" i="1"/>
  <c r="U317" i="1"/>
  <c r="U221" i="1"/>
  <c r="U93" i="1"/>
  <c r="U115" i="1"/>
  <c r="U97" i="1"/>
  <c r="U71" i="1"/>
  <c r="U208" i="1"/>
  <c r="U247" i="1"/>
  <c r="U92" i="1"/>
  <c r="U33" i="1"/>
  <c r="U226" i="1"/>
  <c r="U72" i="1"/>
  <c r="U110" i="1"/>
  <c r="U78" i="1"/>
  <c r="U101" i="1"/>
  <c r="U37" i="1"/>
  <c r="U77" i="1"/>
  <c r="U132" i="1"/>
  <c r="U207" i="1"/>
  <c r="U257" i="1"/>
  <c r="U94" i="1"/>
  <c r="U104" i="1"/>
  <c r="U325" i="1"/>
  <c r="U100" i="1"/>
  <c r="U73" i="1"/>
  <c r="U220" i="1"/>
  <c r="U314" i="1"/>
  <c r="U275" i="1"/>
  <c r="U213" i="1"/>
  <c r="U288" i="1"/>
  <c r="T162" i="1"/>
  <c r="T357" i="1"/>
  <c r="T184" i="1"/>
  <c r="T154" i="1"/>
  <c r="T185" i="1"/>
  <c r="T227" i="1"/>
  <c r="T214" i="1"/>
  <c r="T363" i="1"/>
  <c r="T200" i="1"/>
  <c r="T274" i="1"/>
  <c r="T248" i="1"/>
  <c r="T120" i="1"/>
  <c r="T88" i="1"/>
  <c r="T211" i="1"/>
  <c r="T212" i="1"/>
  <c r="T116" i="1"/>
  <c r="T90" i="1"/>
  <c r="T385" i="1"/>
  <c r="T95" i="1"/>
  <c r="T91" i="1"/>
  <c r="T223" i="1"/>
  <c r="T219" i="1"/>
  <c r="T34" i="1"/>
  <c r="T354" i="1"/>
  <c r="T40" i="1"/>
  <c r="T107" i="1"/>
  <c r="T43" i="1"/>
  <c r="T108" i="1"/>
  <c r="T210" i="1"/>
  <c r="T249" i="1"/>
  <c r="T89" i="1"/>
  <c r="T246" i="1"/>
  <c r="T118" i="1"/>
  <c r="T41" i="1"/>
  <c r="T109" i="1"/>
  <c r="T299" i="1"/>
  <c r="T112" i="1"/>
  <c r="T291" i="1"/>
  <c r="T99" i="1"/>
  <c r="T106" i="1"/>
  <c r="T42" i="1"/>
  <c r="T209" i="1"/>
  <c r="T111" i="1"/>
  <c r="T31" i="1"/>
  <c r="U30" i="1"/>
  <c r="U168" i="1"/>
  <c r="U83" i="1"/>
  <c r="U85" i="1"/>
  <c r="U347" i="1"/>
  <c r="U348" i="1"/>
  <c r="U279" i="1"/>
  <c r="U81" i="1"/>
  <c r="U360" i="1"/>
  <c r="U163" i="1"/>
  <c r="T152" i="1"/>
  <c r="T273" i="1"/>
  <c r="T216" i="1"/>
  <c r="T157" i="1"/>
  <c r="T327" i="1"/>
  <c r="U80" i="1"/>
  <c r="U186" i="1"/>
  <c r="U338" i="1"/>
  <c r="U189" i="1"/>
  <c r="U339" i="1"/>
  <c r="U243" i="1"/>
  <c r="U336" i="1"/>
  <c r="U281" i="1"/>
  <c r="U342" i="1"/>
  <c r="U38" i="1"/>
  <c r="T344" i="1"/>
  <c r="T56" i="1"/>
  <c r="T334" i="1"/>
  <c r="T332" i="1"/>
  <c r="T300" i="1"/>
  <c r="T48" i="1"/>
  <c r="T349" i="1"/>
  <c r="T285" i="1"/>
  <c r="T19" i="1"/>
  <c r="T20" i="1"/>
  <c r="T193" i="1"/>
  <c r="T129" i="1"/>
  <c r="T233" i="1"/>
  <c r="T295" i="1"/>
  <c r="T383" i="1"/>
  <c r="T191" i="1"/>
  <c r="T341" i="1"/>
  <c r="T137" i="1"/>
  <c r="T294" i="1"/>
  <c r="T283" i="1"/>
  <c r="T296" i="1"/>
  <c r="T128" i="1"/>
  <c r="T44" i="1"/>
  <c r="T377" i="1"/>
  <c r="T57" i="1"/>
  <c r="T150" i="1"/>
  <c r="T188" i="1"/>
  <c r="T130" i="1"/>
  <c r="T284" i="1"/>
  <c r="T331" i="1"/>
  <c r="T359" i="1"/>
  <c r="T328" i="1"/>
  <c r="T382" i="1"/>
  <c r="T310" i="1"/>
  <c r="T365" i="1"/>
  <c r="T333" i="1"/>
  <c r="T355" i="1"/>
  <c r="T36" i="1"/>
  <c r="T337" i="1"/>
  <c r="T175" i="1"/>
  <c r="T174" i="1"/>
  <c r="T329" i="1"/>
  <c r="T134" i="1"/>
  <c r="T372" i="1"/>
  <c r="T387" i="1"/>
  <c r="T320" i="1"/>
  <c r="T122" i="1"/>
  <c r="T65" i="1"/>
  <c r="T126" i="1"/>
  <c r="T62" i="1"/>
  <c r="T117" i="1"/>
  <c r="T53" i="1"/>
  <c r="T63" i="1"/>
  <c r="T236" i="1"/>
  <c r="T70" i="1"/>
  <c r="T237" i="1"/>
  <c r="T75" i="1"/>
  <c r="T268" i="1"/>
  <c r="T105" i="1"/>
  <c r="T67" i="1"/>
  <c r="T68" i="1"/>
  <c r="T241" i="1"/>
  <c r="T239" i="1"/>
  <c r="T69" i="1"/>
  <c r="T64" i="1"/>
  <c r="T361" i="1"/>
  <c r="U266" i="1"/>
  <c r="U350" i="1"/>
  <c r="U39" i="1"/>
  <c r="T322" i="1"/>
  <c r="T245" i="1"/>
  <c r="T351" i="1"/>
  <c r="T287" i="1"/>
  <c r="T76" i="1"/>
  <c r="T55" i="1"/>
  <c r="T54" i="1"/>
  <c r="T45" i="1"/>
  <c r="T276" i="1"/>
  <c r="T225" i="1"/>
  <c r="T222" i="1"/>
  <c r="T181" i="1"/>
  <c r="T229" i="1"/>
  <c r="T314" i="1"/>
  <c r="T213" i="1"/>
  <c r="T275" i="1"/>
  <c r="T288" i="1"/>
  <c r="T189" i="1"/>
  <c r="T339" i="1"/>
  <c r="T243" i="1"/>
  <c r="T336" i="1"/>
  <c r="T281" i="1"/>
  <c r="T38" i="1"/>
  <c r="T338" i="1"/>
  <c r="T342" i="1"/>
  <c r="U60" i="1"/>
  <c r="U253" i="1"/>
  <c r="U179" i="1"/>
  <c r="U153" i="1"/>
  <c r="U47" i="1"/>
  <c r="T330" i="1"/>
  <c r="T182" i="1"/>
  <c r="T183" i="1"/>
  <c r="U24" i="1"/>
  <c r="U23" i="1"/>
  <c r="T58" i="1"/>
  <c r="T59" i="1"/>
  <c r="T114" i="1"/>
  <c r="T121" i="1"/>
  <c r="T32" i="1"/>
  <c r="T282" i="1"/>
  <c r="T366" i="1"/>
  <c r="T264" i="1"/>
  <c r="T136" i="1"/>
  <c r="T190" i="1"/>
  <c r="T262" i="1"/>
  <c r="T358" i="1"/>
  <c r="T265" i="1"/>
  <c r="T199" i="1"/>
  <c r="T380" i="1"/>
  <c r="T140" i="1"/>
  <c r="T86" i="1"/>
  <c r="T141" i="1"/>
  <c r="T139" i="1"/>
  <c r="T343" i="1"/>
  <c r="T138" i="1"/>
  <c r="T369" i="1"/>
  <c r="T335" i="1"/>
  <c r="T379" i="1"/>
  <c r="T201" i="1"/>
  <c r="T231" i="1"/>
  <c r="T340" i="1"/>
  <c r="U356" i="1"/>
  <c r="U260" i="1"/>
  <c r="U345" i="1"/>
  <c r="U217" i="1"/>
  <c r="U215" i="1"/>
  <c r="U50" i="1"/>
  <c r="U49" i="1"/>
  <c r="U28" i="1"/>
  <c r="U346" i="1"/>
  <c r="U286" i="1"/>
  <c r="U35" i="1"/>
  <c r="U370" i="1"/>
  <c r="U258" i="1"/>
  <c r="U255" i="1"/>
  <c r="U256" i="1"/>
  <c r="U353" i="1"/>
  <c r="U374" i="1"/>
  <c r="T364" i="1"/>
  <c r="T352" i="1"/>
  <c r="T84" i="1"/>
  <c r="T289" i="1"/>
  <c r="T135" i="1"/>
  <c r="T51" i="1"/>
  <c r="T315" i="1"/>
  <c r="T267" i="1"/>
  <c r="T143" i="1"/>
  <c r="T270" i="1"/>
  <c r="T142" i="1"/>
  <c r="T46" i="1"/>
  <c r="T272" i="1"/>
  <c r="T253" i="1"/>
  <c r="T179" i="1"/>
  <c r="T60" i="1"/>
  <c r="T153" i="1"/>
  <c r="T47" i="1"/>
  <c r="U352" i="1"/>
  <c r="U51" i="1"/>
  <c r="U315" i="1"/>
  <c r="U289" i="1"/>
  <c r="U84" i="1"/>
  <c r="U135" i="1"/>
  <c r="U267" i="1"/>
  <c r="U270" i="1"/>
  <c r="U142" i="1"/>
  <c r="U46" i="1"/>
  <c r="U364" i="1"/>
  <c r="U143" i="1"/>
  <c r="U272" i="1"/>
  <c r="U311" i="1"/>
  <c r="U131" i="1"/>
  <c r="U297" i="1"/>
  <c r="U392" i="1"/>
  <c r="U384" i="1"/>
  <c r="U390" i="1"/>
  <c r="U389" i="1"/>
  <c r="U152" i="1"/>
  <c r="U273" i="1"/>
  <c r="U264" i="1"/>
  <c r="U136" i="1"/>
  <c r="U366" i="1"/>
  <c r="U358" i="1"/>
  <c r="U86" i="1"/>
  <c r="U139" i="1"/>
  <c r="U343" i="1"/>
  <c r="U231" i="1"/>
  <c r="U380" i="1"/>
  <c r="U140" i="1"/>
  <c r="U369" i="1"/>
  <c r="U379" i="1"/>
  <c r="U282" i="1"/>
  <c r="U141" i="1"/>
  <c r="U340" i="1"/>
  <c r="U335" i="1"/>
  <c r="U265" i="1"/>
  <c r="U201" i="1"/>
  <c r="U138" i="1"/>
  <c r="U262" i="1"/>
  <c r="U199" i="1"/>
  <c r="U190" i="1"/>
  <c r="T242" i="1"/>
  <c r="T234" i="1"/>
  <c r="T304" i="1"/>
  <c r="T176" i="1"/>
  <c r="T321" i="1"/>
  <c r="T161" i="1"/>
  <c r="T306" i="1"/>
  <c r="T307" i="1"/>
  <c r="T309" i="1"/>
  <c r="T290" i="1"/>
  <c r="T172" i="1"/>
  <c r="T178" i="1"/>
  <c r="T169" i="1"/>
  <c r="T166" i="1"/>
  <c r="T173" i="1"/>
  <c r="T235" i="1"/>
  <c r="T171" i="1"/>
  <c r="T194" i="1"/>
  <c r="T198" i="1"/>
  <c r="T167" i="1"/>
  <c r="T240" i="1"/>
  <c r="T196" i="1"/>
  <c r="T305" i="1"/>
  <c r="T177" i="1"/>
  <c r="T145" i="1"/>
  <c r="T303" i="1"/>
  <c r="T302" i="1"/>
  <c r="T238" i="1"/>
  <c r="T230" i="1"/>
  <c r="T197" i="1"/>
  <c r="T165" i="1"/>
  <c r="T308" i="1"/>
  <c r="T195" i="1"/>
  <c r="T144" i="1"/>
  <c r="T232" i="1"/>
  <c r="BF18" i="1"/>
  <c r="K9" i="71"/>
  <c r="K57" i="71"/>
  <c r="J51" i="71"/>
  <c r="J19" i="71"/>
  <c r="L40" i="139"/>
  <c r="R8" i="139"/>
  <c r="K4" i="139"/>
  <c r="R4" i="139"/>
  <c r="D2" i="139"/>
  <c r="T11" i="1"/>
  <c r="BA4" i="1"/>
  <c r="BE4" i="1"/>
  <c r="L50" i="139"/>
  <c r="L55" i="139"/>
  <c r="J53" i="71"/>
  <c r="J12" i="71"/>
  <c r="J23" i="71"/>
  <c r="J55" i="71"/>
  <c r="J29" i="71"/>
  <c r="J59" i="71"/>
  <c r="K11" i="71"/>
  <c r="K59" i="71"/>
  <c r="J49" i="71"/>
  <c r="J41" i="71"/>
  <c r="J58" i="71"/>
  <c r="J24" i="71"/>
  <c r="J52" i="71"/>
  <c r="K58" i="71"/>
  <c r="K55" i="71"/>
  <c r="J7" i="71"/>
  <c r="K35" i="71"/>
  <c r="K24" i="71"/>
  <c r="J60" i="71"/>
  <c r="K38" i="71"/>
  <c r="J22" i="71"/>
  <c r="K17" i="71"/>
  <c r="Q10" i="1"/>
  <c r="S18" i="1"/>
  <c r="Q18" i="1"/>
  <c r="U15" i="1"/>
  <c r="U11" i="1"/>
  <c r="W11" i="1" s="1"/>
  <c r="T12" i="1"/>
  <c r="V12" i="1" s="1"/>
  <c r="T9" i="1"/>
  <c r="V9" i="1" s="1"/>
  <c r="AC9" i="1" s="1"/>
  <c r="U9" i="1"/>
  <c r="J18" i="71"/>
  <c r="L61" i="71"/>
  <c r="P61" i="71" s="1"/>
  <c r="K19" i="71"/>
  <c r="K12" i="71"/>
  <c r="U16" i="1"/>
  <c r="J32" i="71"/>
  <c r="K53" i="71"/>
  <c r="K60" i="71"/>
  <c r="K14" i="71"/>
  <c r="J54" i="71"/>
  <c r="K25" i="71"/>
  <c r="J8" i="71"/>
  <c r="J30" i="71"/>
  <c r="J43" i="71"/>
  <c r="K36" i="71"/>
  <c r="K28" i="71"/>
  <c r="K27" i="71"/>
  <c r="J57" i="71"/>
  <c r="L20" i="139"/>
  <c r="J38" i="71"/>
  <c r="J16" i="71"/>
  <c r="K32" i="71"/>
  <c r="L24" i="139"/>
  <c r="L25" i="139"/>
  <c r="L32" i="139"/>
  <c r="L19" i="139"/>
  <c r="BF14" i="1"/>
  <c r="L45" i="139"/>
  <c r="L34" i="139"/>
  <c r="L54" i="139"/>
  <c r="L52" i="139"/>
  <c r="K20" i="71"/>
  <c r="J17" i="71"/>
  <c r="K46" i="71"/>
  <c r="U18" i="1"/>
  <c r="L51" i="139"/>
  <c r="L42" i="139"/>
  <c r="L38" i="139"/>
  <c r="J36" i="71"/>
  <c r="K39" i="71"/>
  <c r="L49" i="139"/>
  <c r="L26" i="139"/>
  <c r="BF13" i="1"/>
  <c r="L46" i="139"/>
  <c r="O27" i="139"/>
  <c r="O11" i="139"/>
  <c r="L43" i="139"/>
  <c r="L30" i="139"/>
  <c r="L16" i="139"/>
  <c r="L36" i="139"/>
  <c r="L11" i="139"/>
  <c r="L56" i="139"/>
  <c r="L21" i="139"/>
  <c r="T17" i="1"/>
  <c r="T8" i="1"/>
  <c r="J45" i="71"/>
  <c r="T10" i="1"/>
  <c r="V10" i="1" s="1"/>
  <c r="K7" i="71"/>
  <c r="K45" i="71"/>
  <c r="J14" i="71"/>
  <c r="J48" i="71"/>
  <c r="K49" i="71"/>
  <c r="K6" i="71"/>
  <c r="U17" i="1"/>
  <c r="T6" i="1"/>
  <c r="U7" i="1"/>
  <c r="W7" i="1" s="1"/>
  <c r="T18" i="1"/>
  <c r="J35" i="71"/>
  <c r="D3" i="71"/>
  <c r="J47" i="71"/>
  <c r="J26" i="71"/>
  <c r="J5" i="71"/>
  <c r="J27" i="71"/>
  <c r="K10" i="71"/>
  <c r="L50" i="71"/>
  <c r="P50" i="71" s="1"/>
  <c r="U13" i="1"/>
  <c r="J37" i="71"/>
  <c r="K37" i="71"/>
  <c r="J34" i="71"/>
  <c r="T16" i="1"/>
  <c r="K26" i="71"/>
  <c r="K30" i="71"/>
  <c r="K29" i="71"/>
  <c r="J31" i="71"/>
  <c r="S13" i="1"/>
  <c r="Q13" i="1"/>
  <c r="K54" i="71"/>
  <c r="T15" i="1"/>
  <c r="J42" i="71"/>
  <c r="T14" i="1"/>
  <c r="K8" i="71"/>
  <c r="K5" i="71"/>
  <c r="K44" i="71"/>
  <c r="J20" i="71"/>
  <c r="J11" i="71"/>
  <c r="K23" i="71"/>
  <c r="U12" i="1"/>
  <c r="K52" i="71"/>
  <c r="K21" i="71"/>
  <c r="K43" i="71"/>
  <c r="J25" i="71"/>
  <c r="J39" i="71"/>
  <c r="U6" i="1"/>
  <c r="W6" i="1" s="1"/>
  <c r="AD6" i="1" s="1"/>
  <c r="J40" i="71"/>
  <c r="K51" i="71"/>
  <c r="K41" i="71"/>
  <c r="J44" i="71"/>
  <c r="J46" i="71"/>
  <c r="K34" i="71"/>
  <c r="K42" i="71"/>
  <c r="J28" i="71"/>
  <c r="K56" i="71"/>
  <c r="K15" i="71"/>
  <c r="T7" i="1"/>
  <c r="U8" i="1"/>
  <c r="F3" i="71"/>
  <c r="U10" i="1"/>
  <c r="J6" i="71"/>
  <c r="U14" i="1"/>
  <c r="G15" i="71"/>
  <c r="G3" i="71" s="1"/>
  <c r="K16" i="71"/>
  <c r="K47" i="71"/>
  <c r="K31" i="71"/>
  <c r="J21" i="71"/>
  <c r="K13" i="71"/>
  <c r="J9" i="71"/>
  <c r="J13" i="71"/>
  <c r="E3" i="71"/>
  <c r="J15" i="71"/>
  <c r="K33" i="71"/>
  <c r="T13" i="1"/>
  <c r="K18" i="71"/>
  <c r="J33" i="71"/>
  <c r="J10" i="71"/>
  <c r="K40" i="71"/>
  <c r="K48" i="71"/>
  <c r="J56" i="71"/>
  <c r="K22" i="71"/>
  <c r="AD66" i="1" l="1"/>
  <c r="AF66" i="1" s="1"/>
  <c r="X187" i="1"/>
  <c r="BD187" i="1" s="1"/>
  <c r="AD293" i="1"/>
  <c r="AF293" i="1" s="1"/>
  <c r="BB187" i="1"/>
  <c r="BC293" i="1"/>
  <c r="BB316" i="1"/>
  <c r="AD373" i="1"/>
  <c r="AF373" i="1" s="1"/>
  <c r="AD292" i="1"/>
  <c r="AF292" i="1" s="1"/>
  <c r="BC66" i="1"/>
  <c r="X66" i="1"/>
  <c r="BD66" i="1" s="1"/>
  <c r="X398" i="1"/>
  <c r="BD398" i="1" s="1"/>
  <c r="BC187" i="1"/>
  <c r="AD147" i="1"/>
  <c r="AF147" i="1" s="1"/>
  <c r="BB21" i="1"/>
  <c r="BB147" i="1"/>
  <c r="AC147" i="1"/>
  <c r="AE147" i="1" s="1"/>
  <c r="BB394" i="1"/>
  <c r="BC147" i="1"/>
  <c r="AC21" i="1"/>
  <c r="AE21" i="1" s="1"/>
  <c r="X147" i="1"/>
  <c r="BD147" i="1" s="1"/>
  <c r="BB398" i="1"/>
  <c r="AD316" i="1"/>
  <c r="AF316" i="1" s="1"/>
  <c r="AG316" i="1" s="1"/>
  <c r="AB316" i="1" s="1"/>
  <c r="AD187" i="1"/>
  <c r="AF187" i="1" s="1"/>
  <c r="BC373" i="1"/>
  <c r="X316" i="1"/>
  <c r="BD316" i="1" s="1"/>
  <c r="BB292" i="1"/>
  <c r="BB367" i="1"/>
  <c r="BC316" i="1"/>
  <c r="AC367" i="1"/>
  <c r="AE367" i="1" s="1"/>
  <c r="BC21" i="1"/>
  <c r="BC381" i="1"/>
  <c r="X293" i="1"/>
  <c r="BD293" i="1" s="1"/>
  <c r="BC393" i="1"/>
  <c r="BC394" i="1"/>
  <c r="BC391" i="1"/>
  <c r="X373" i="1"/>
  <c r="BD373" i="1" s="1"/>
  <c r="BC395" i="1"/>
  <c r="AC280" i="1"/>
  <c r="AE280" i="1" s="1"/>
  <c r="AG280" i="1" s="1"/>
  <c r="AB280" i="1" s="1"/>
  <c r="BC398" i="1"/>
  <c r="AC397" i="1"/>
  <c r="AE397" i="1" s="1"/>
  <c r="AG397" i="1" s="1"/>
  <c r="AB397" i="1" s="1"/>
  <c r="BC292" i="1"/>
  <c r="AC388" i="1"/>
  <c r="AE388" i="1" s="1"/>
  <c r="BC388" i="1"/>
  <c r="BB396" i="1"/>
  <c r="AC393" i="1"/>
  <c r="AE393" i="1" s="1"/>
  <c r="AG393" i="1" s="1"/>
  <c r="AB393" i="1" s="1"/>
  <c r="BC280" i="1"/>
  <c r="AC395" i="1"/>
  <c r="AE395" i="1" s="1"/>
  <c r="AG395" i="1" s="1"/>
  <c r="AB395" i="1" s="1"/>
  <c r="AC187" i="1"/>
  <c r="AE187" i="1" s="1"/>
  <c r="H22" i="139" s="1"/>
  <c r="BC397" i="1"/>
  <c r="X280" i="1"/>
  <c r="BD280" i="1" s="1"/>
  <c r="BC396" i="1"/>
  <c r="BB381" i="1"/>
  <c r="AC373" i="1"/>
  <c r="AE373" i="1" s="1"/>
  <c r="X393" i="1"/>
  <c r="BD393" i="1" s="1"/>
  <c r="BB373" i="1"/>
  <c r="X292" i="1"/>
  <c r="BD292" i="1" s="1"/>
  <c r="AC292" i="1"/>
  <c r="AE292" i="1" s="1"/>
  <c r="X367" i="1"/>
  <c r="BD367" i="1" s="1"/>
  <c r="X261" i="1"/>
  <c r="BD261" i="1" s="1"/>
  <c r="X388" i="1"/>
  <c r="BD388" i="1" s="1"/>
  <c r="X396" i="1"/>
  <c r="BD396" i="1" s="1"/>
  <c r="BC367" i="1"/>
  <c r="AD367" i="1"/>
  <c r="AF367" i="1" s="1"/>
  <c r="AD261" i="1"/>
  <c r="AF261" i="1" s="1"/>
  <c r="AG261" i="1" s="1"/>
  <c r="AB261" i="1" s="1"/>
  <c r="BB388" i="1"/>
  <c r="X381" i="1"/>
  <c r="BD381" i="1" s="1"/>
  <c r="BB397" i="1"/>
  <c r="X395" i="1"/>
  <c r="BD395" i="1" s="1"/>
  <c r="X391" i="1"/>
  <c r="BD391" i="1" s="1"/>
  <c r="AC391" i="1"/>
  <c r="AE391" i="1" s="1"/>
  <c r="X397" i="1"/>
  <c r="BD397" i="1" s="1"/>
  <c r="AC293" i="1"/>
  <c r="AE293" i="1" s="1"/>
  <c r="BB391" i="1"/>
  <c r="W282" i="1"/>
  <c r="AD282" i="1" s="1"/>
  <c r="AF282" i="1" s="1"/>
  <c r="W364" i="1"/>
  <c r="BC364" i="1" s="1"/>
  <c r="W50" i="1"/>
  <c r="W179" i="1"/>
  <c r="V243" i="1"/>
  <c r="V181" i="1"/>
  <c r="V287" i="1"/>
  <c r="V64" i="1"/>
  <c r="V75" i="1"/>
  <c r="V126" i="1"/>
  <c r="V174" i="1"/>
  <c r="V382" i="1"/>
  <c r="V57" i="1"/>
  <c r="BB57" i="1" s="1"/>
  <c r="V341" i="1"/>
  <c r="V19" i="1"/>
  <c r="V344" i="1"/>
  <c r="W338" i="1"/>
  <c r="W163" i="1"/>
  <c r="AD163" i="1" s="1"/>
  <c r="AF163" i="1" s="1"/>
  <c r="W168" i="1"/>
  <c r="V291" i="1"/>
  <c r="V249" i="1"/>
  <c r="V219" i="1"/>
  <c r="V211" i="1"/>
  <c r="V227" i="1"/>
  <c r="W275" i="1"/>
  <c r="W257" i="1"/>
  <c r="W72" i="1"/>
  <c r="W115" i="1"/>
  <c r="W250" i="1"/>
  <c r="W148" i="1"/>
  <c r="W301" i="1"/>
  <c r="W318" i="1"/>
  <c r="W294" i="1"/>
  <c r="W387" i="1"/>
  <c r="W365" i="1"/>
  <c r="W284" i="1"/>
  <c r="W20" i="1"/>
  <c r="W285" i="1"/>
  <c r="V28" i="1"/>
  <c r="W225" i="1"/>
  <c r="W202" i="1"/>
  <c r="W61" i="1"/>
  <c r="W166" i="1"/>
  <c r="W197" i="1"/>
  <c r="W240" i="1"/>
  <c r="W307" i="1"/>
  <c r="W121" i="1"/>
  <c r="V259" i="1"/>
  <c r="W55" i="1"/>
  <c r="V266" i="1"/>
  <c r="W105" i="1"/>
  <c r="W53" i="1"/>
  <c r="V123" i="1"/>
  <c r="V113" i="1"/>
  <c r="V313" i="1"/>
  <c r="V26" i="1"/>
  <c r="V271" i="1"/>
  <c r="W42" i="1"/>
  <c r="W43" i="1"/>
  <c r="W89" i="1"/>
  <c r="W91" i="1"/>
  <c r="V269" i="1"/>
  <c r="V384" i="1"/>
  <c r="W259" i="1"/>
  <c r="V78" i="1"/>
  <c r="V247" i="1"/>
  <c r="V94" i="1"/>
  <c r="V250" i="1"/>
  <c r="BB250" i="1" s="1"/>
  <c r="V82" i="1"/>
  <c r="V206" i="1"/>
  <c r="V360" i="1"/>
  <c r="V83" i="1"/>
  <c r="W192" i="1"/>
  <c r="V258" i="1"/>
  <c r="W200" i="1"/>
  <c r="W16" i="1"/>
  <c r="V194" i="1"/>
  <c r="W335" i="1"/>
  <c r="W135" i="1"/>
  <c r="V267" i="1"/>
  <c r="V330" i="1"/>
  <c r="BB330" i="1" s="1"/>
  <c r="V305" i="1"/>
  <c r="W199" i="1"/>
  <c r="W390" i="1"/>
  <c r="V272" i="1"/>
  <c r="V135" i="1"/>
  <c r="V201" i="1"/>
  <c r="V86" i="1"/>
  <c r="V58" i="1"/>
  <c r="V197" i="1"/>
  <c r="V196" i="1"/>
  <c r="V166" i="1"/>
  <c r="V161" i="1"/>
  <c r="W262" i="1"/>
  <c r="W379" i="1"/>
  <c r="W358" i="1"/>
  <c r="W384" i="1"/>
  <c r="W46" i="1"/>
  <c r="W51" i="1"/>
  <c r="V46" i="1"/>
  <c r="V289" i="1"/>
  <c r="W258" i="1"/>
  <c r="W215" i="1"/>
  <c r="V379" i="1"/>
  <c r="V140" i="1"/>
  <c r="V264" i="1"/>
  <c r="W23" i="1"/>
  <c r="W253" i="1"/>
  <c r="V339" i="1"/>
  <c r="V222" i="1"/>
  <c r="V351" i="1"/>
  <c r="V69" i="1"/>
  <c r="V237" i="1"/>
  <c r="V65" i="1"/>
  <c r="V175" i="1"/>
  <c r="V328" i="1"/>
  <c r="V377" i="1"/>
  <c r="V191" i="1"/>
  <c r="V285" i="1"/>
  <c r="W38" i="1"/>
  <c r="W186" i="1"/>
  <c r="W360" i="1"/>
  <c r="W30" i="1"/>
  <c r="V112" i="1"/>
  <c r="V210" i="1"/>
  <c r="V223" i="1"/>
  <c r="V88" i="1"/>
  <c r="V185" i="1"/>
  <c r="W314" i="1"/>
  <c r="W207" i="1"/>
  <c r="W226" i="1"/>
  <c r="W93" i="1"/>
  <c r="W27" i="1"/>
  <c r="W277" i="1"/>
  <c r="W87" i="1"/>
  <c r="W127" i="1"/>
  <c r="W175" i="1"/>
  <c r="W372" i="1"/>
  <c r="W310" i="1"/>
  <c r="W129" i="1"/>
  <c r="W19" i="1"/>
  <c r="W349" i="1"/>
  <c r="V217" i="1"/>
  <c r="W222" i="1"/>
  <c r="W323" i="1"/>
  <c r="W125" i="1"/>
  <c r="W230" i="1"/>
  <c r="W238" i="1"/>
  <c r="W290" i="1"/>
  <c r="W176" i="1"/>
  <c r="W58" i="1"/>
  <c r="V164" i="1"/>
  <c r="W76" i="1"/>
  <c r="W62" i="1"/>
  <c r="W68" i="1"/>
  <c r="W117" i="1"/>
  <c r="V119" i="1"/>
  <c r="V301" i="1"/>
  <c r="BB301" i="1" s="1"/>
  <c r="V204" i="1"/>
  <c r="V180" i="1"/>
  <c r="V228" i="1"/>
  <c r="W106" i="1"/>
  <c r="W107" i="1"/>
  <c r="W249" i="1"/>
  <c r="W31" i="1"/>
  <c r="V80" i="1"/>
  <c r="V392" i="1"/>
  <c r="W22" i="1"/>
  <c r="V110" i="1"/>
  <c r="V77" i="1"/>
  <c r="V33" i="1"/>
  <c r="V93" i="1"/>
  <c r="V146" i="1"/>
  <c r="V170" i="1"/>
  <c r="V81" i="1"/>
  <c r="V347" i="1"/>
  <c r="W98" i="1"/>
  <c r="V374" i="1"/>
  <c r="W363" i="1"/>
  <c r="V303" i="1"/>
  <c r="W231" i="1"/>
  <c r="W356" i="1"/>
  <c r="V165" i="1"/>
  <c r="V173" i="1"/>
  <c r="V306" i="1"/>
  <c r="W86" i="1"/>
  <c r="W315" i="1"/>
  <c r="W255" i="1"/>
  <c r="V136" i="1"/>
  <c r="V230" i="1"/>
  <c r="V240" i="1"/>
  <c r="V169" i="1"/>
  <c r="V321" i="1"/>
  <c r="W138" i="1"/>
  <c r="W369" i="1"/>
  <c r="W366" i="1"/>
  <c r="W392" i="1"/>
  <c r="W142" i="1"/>
  <c r="W352" i="1"/>
  <c r="V142" i="1"/>
  <c r="V84" i="1"/>
  <c r="W370" i="1"/>
  <c r="W217" i="1"/>
  <c r="V335" i="1"/>
  <c r="V380" i="1"/>
  <c r="V366" i="1"/>
  <c r="W24" i="1"/>
  <c r="W60" i="1"/>
  <c r="V189" i="1"/>
  <c r="V225" i="1"/>
  <c r="V245" i="1"/>
  <c r="V239" i="1"/>
  <c r="V70" i="1"/>
  <c r="BB70" i="1" s="1"/>
  <c r="V122" i="1"/>
  <c r="V337" i="1"/>
  <c r="V359" i="1"/>
  <c r="V44" i="1"/>
  <c r="BB44" i="1" s="1"/>
  <c r="V383" i="1"/>
  <c r="V349" i="1"/>
  <c r="W342" i="1"/>
  <c r="W80" i="1"/>
  <c r="W81" i="1"/>
  <c r="V31" i="1"/>
  <c r="V299" i="1"/>
  <c r="V108" i="1"/>
  <c r="V91" i="1"/>
  <c r="V120" i="1"/>
  <c r="V154" i="1"/>
  <c r="W220" i="1"/>
  <c r="W132" i="1"/>
  <c r="W33" i="1"/>
  <c r="W221" i="1"/>
  <c r="W170" i="1"/>
  <c r="W156" i="1"/>
  <c r="W151" i="1"/>
  <c r="W319" i="1"/>
  <c r="W137" i="1"/>
  <c r="W283" i="1"/>
  <c r="W382" i="1"/>
  <c r="W188" i="1"/>
  <c r="W341" i="1"/>
  <c r="W48" i="1"/>
  <c r="V345" i="1"/>
  <c r="W229" i="1"/>
  <c r="W123" i="1"/>
  <c r="W161" i="1"/>
  <c r="BC161" i="1" s="1"/>
  <c r="W169" i="1"/>
  <c r="W302" i="1"/>
  <c r="W171" i="1"/>
  <c r="W304" i="1"/>
  <c r="V74" i="1"/>
  <c r="V22" i="1"/>
  <c r="W245" i="1"/>
  <c r="W70" i="1"/>
  <c r="AD70" i="1" s="1"/>
  <c r="AF70" i="1" s="1"/>
  <c r="W237" i="1"/>
  <c r="W122" i="1"/>
  <c r="V124" i="1"/>
  <c r="V156" i="1"/>
  <c r="V252" i="1"/>
  <c r="V378" i="1"/>
  <c r="V278" i="1"/>
  <c r="W99" i="1"/>
  <c r="W112" i="1"/>
  <c r="W90" i="1"/>
  <c r="W223" i="1"/>
  <c r="V186" i="1"/>
  <c r="W74" i="1"/>
  <c r="W29" i="1"/>
  <c r="V207" i="1"/>
  <c r="V71" i="1"/>
  <c r="V97" i="1"/>
  <c r="V221" i="1"/>
  <c r="V158" i="1"/>
  <c r="V368" i="1"/>
  <c r="V163" i="1"/>
  <c r="W82" i="1"/>
  <c r="W228" i="1"/>
  <c r="X228" i="1" s="1"/>
  <c r="BD228" i="1" s="1"/>
  <c r="V256" i="1"/>
  <c r="W214" i="1"/>
  <c r="V17" i="1"/>
  <c r="V238" i="1"/>
  <c r="V167" i="1"/>
  <c r="V178" i="1"/>
  <c r="V176" i="1"/>
  <c r="W201" i="1"/>
  <c r="X201" i="1" s="1"/>
  <c r="BD201" i="1" s="1"/>
  <c r="W140" i="1"/>
  <c r="W136" i="1"/>
  <c r="W297" i="1"/>
  <c r="W270" i="1"/>
  <c r="V47" i="1"/>
  <c r="V270" i="1"/>
  <c r="V352" i="1"/>
  <c r="W35" i="1"/>
  <c r="W345" i="1"/>
  <c r="V369" i="1"/>
  <c r="V199" i="1"/>
  <c r="X199" i="1" s="1"/>
  <c r="BD199" i="1" s="1"/>
  <c r="V282" i="1"/>
  <c r="BB282" i="1" s="1"/>
  <c r="V183" i="1"/>
  <c r="BB183" i="1" s="1"/>
  <c r="V342" i="1"/>
  <c r="V288" i="1"/>
  <c r="V276" i="1"/>
  <c r="V322" i="1"/>
  <c r="V241" i="1"/>
  <c r="V236" i="1"/>
  <c r="V320" i="1"/>
  <c r="V36" i="1"/>
  <c r="V331" i="1"/>
  <c r="V128" i="1"/>
  <c r="BB128" i="1" s="1"/>
  <c r="V295" i="1"/>
  <c r="V48" i="1"/>
  <c r="X48" i="1" s="1"/>
  <c r="BD48" i="1" s="1"/>
  <c r="W281" i="1"/>
  <c r="V327" i="1"/>
  <c r="W279" i="1"/>
  <c r="V111" i="1"/>
  <c r="V109" i="1"/>
  <c r="V43" i="1"/>
  <c r="V95" i="1"/>
  <c r="V248" i="1"/>
  <c r="V184" i="1"/>
  <c r="W73" i="1"/>
  <c r="W77" i="1"/>
  <c r="W92" i="1"/>
  <c r="W317" i="1"/>
  <c r="W206" i="1"/>
  <c r="W386" i="1"/>
  <c r="W375" i="1"/>
  <c r="W371" i="1"/>
  <c r="W233" i="1"/>
  <c r="W334" i="1"/>
  <c r="W328" i="1"/>
  <c r="AD328" i="1" s="1"/>
  <c r="AF328" i="1" s="1"/>
  <c r="W359" i="1"/>
  <c r="W128" i="1"/>
  <c r="BC128" i="1" s="1"/>
  <c r="W56" i="1"/>
  <c r="V50" i="1"/>
  <c r="W181" i="1"/>
  <c r="W103" i="1"/>
  <c r="W198" i="1"/>
  <c r="W195" i="1"/>
  <c r="W145" i="1"/>
  <c r="W235" i="1"/>
  <c r="W306" i="1"/>
  <c r="V102" i="1"/>
  <c r="V29" i="1"/>
  <c r="W54" i="1"/>
  <c r="W239" i="1"/>
  <c r="W241" i="1"/>
  <c r="W63" i="1"/>
  <c r="V159" i="1"/>
  <c r="V87" i="1"/>
  <c r="V318" i="1"/>
  <c r="V386" i="1"/>
  <c r="V254" i="1"/>
  <c r="W109" i="1"/>
  <c r="W354" i="1"/>
  <c r="BC354" i="1" s="1"/>
  <c r="W116" i="1"/>
  <c r="W385" i="1"/>
  <c r="W327" i="1"/>
  <c r="W251" i="1"/>
  <c r="W362" i="1"/>
  <c r="V100" i="1"/>
  <c r="V208" i="1"/>
  <c r="V257" i="1"/>
  <c r="BB257" i="1" s="1"/>
  <c r="W227" i="1"/>
  <c r="X227" i="1" s="1"/>
  <c r="BD227" i="1" s="1"/>
  <c r="V312" i="1"/>
  <c r="BB312" i="1" s="1"/>
  <c r="V27" i="1"/>
  <c r="V279" i="1"/>
  <c r="AC279" i="1" s="1"/>
  <c r="AE279" i="1" s="1"/>
  <c r="W146" i="1"/>
  <c r="W271" i="1"/>
  <c r="V255" i="1"/>
  <c r="W274" i="1"/>
  <c r="X394" i="1"/>
  <c r="BD394" i="1" s="1"/>
  <c r="BB293" i="1"/>
  <c r="V232" i="1"/>
  <c r="V302" i="1"/>
  <c r="V198" i="1"/>
  <c r="V172" i="1"/>
  <c r="V304" i="1"/>
  <c r="W265" i="1"/>
  <c r="W380" i="1"/>
  <c r="W264" i="1"/>
  <c r="W131" i="1"/>
  <c r="W267" i="1"/>
  <c r="V153" i="1"/>
  <c r="V143" i="1"/>
  <c r="V364" i="1"/>
  <c r="W286" i="1"/>
  <c r="W260" i="1"/>
  <c r="V138" i="1"/>
  <c r="V265" i="1"/>
  <c r="V32" i="1"/>
  <c r="BB32" i="1" s="1"/>
  <c r="V182" i="1"/>
  <c r="V338" i="1"/>
  <c r="V275" i="1"/>
  <c r="V45" i="1"/>
  <c r="W39" i="1"/>
  <c r="V68" i="1"/>
  <c r="V63" i="1"/>
  <c r="V387" i="1"/>
  <c r="V355" i="1"/>
  <c r="V284" i="1"/>
  <c r="V296" i="1"/>
  <c r="V233" i="1"/>
  <c r="BB233" i="1" s="1"/>
  <c r="V300" i="1"/>
  <c r="W336" i="1"/>
  <c r="V157" i="1"/>
  <c r="W348" i="1"/>
  <c r="V209" i="1"/>
  <c r="V41" i="1"/>
  <c r="V107" i="1"/>
  <c r="V385" i="1"/>
  <c r="V274" i="1"/>
  <c r="V357" i="1"/>
  <c r="W100" i="1"/>
  <c r="W37" i="1"/>
  <c r="W247" i="1"/>
  <c r="AD247" i="1" s="1"/>
  <c r="AF247" i="1" s="1"/>
  <c r="W326" i="1"/>
  <c r="W368" i="1"/>
  <c r="W205" i="1"/>
  <c r="W203" i="1"/>
  <c r="W324" i="1"/>
  <c r="W36" i="1"/>
  <c r="W174" i="1"/>
  <c r="W130" i="1"/>
  <c r="W332" i="1"/>
  <c r="W296" i="1"/>
  <c r="W344" i="1"/>
  <c r="V356" i="1"/>
  <c r="BB356" i="1" s="1"/>
  <c r="W183" i="1"/>
  <c r="W119" i="1"/>
  <c r="W303" i="1"/>
  <c r="W308" i="1"/>
  <c r="W177" i="1"/>
  <c r="W321" i="1"/>
  <c r="W234" i="1"/>
  <c r="V251" i="1"/>
  <c r="V362" i="1"/>
  <c r="W287" i="1"/>
  <c r="W361" i="1"/>
  <c r="W236" i="1"/>
  <c r="BC236" i="1" s="1"/>
  <c r="W268" i="1"/>
  <c r="V52" i="1"/>
  <c r="V151" i="1"/>
  <c r="X151" i="1" s="1"/>
  <c r="BD151" i="1" s="1"/>
  <c r="V127" i="1"/>
  <c r="V298" i="1"/>
  <c r="V244" i="1"/>
  <c r="W219" i="1"/>
  <c r="W299" i="1"/>
  <c r="W212" i="1"/>
  <c r="W88" i="1"/>
  <c r="W157" i="1"/>
  <c r="W102" i="1"/>
  <c r="V104" i="1"/>
  <c r="V132" i="1"/>
  <c r="BB132" i="1" s="1"/>
  <c r="V226" i="1"/>
  <c r="V317" i="1"/>
  <c r="W185" i="1"/>
  <c r="X185" i="1" s="1"/>
  <c r="BD185" i="1" s="1"/>
  <c r="V376" i="1"/>
  <c r="V25" i="1"/>
  <c r="BB25" i="1" s="1"/>
  <c r="V348" i="1"/>
  <c r="W160" i="1"/>
  <c r="W254" i="1"/>
  <c r="V370" i="1"/>
  <c r="V54" i="1"/>
  <c r="V333" i="1"/>
  <c r="W208" i="1"/>
  <c r="W96" i="1"/>
  <c r="W263" i="1"/>
  <c r="W313" i="1"/>
  <c r="BC313" i="1" s="1"/>
  <c r="W298" i="1"/>
  <c r="W355" i="1"/>
  <c r="W337" i="1"/>
  <c r="W295" i="1"/>
  <c r="W150" i="1"/>
  <c r="W191" i="1"/>
  <c r="V49" i="1"/>
  <c r="V286" i="1"/>
  <c r="W182" i="1"/>
  <c r="W159" i="1"/>
  <c r="W196" i="1"/>
  <c r="BC196" i="1" s="1"/>
  <c r="W173" i="1"/>
  <c r="W305" i="1"/>
  <c r="W309" i="1"/>
  <c r="W114" i="1"/>
  <c r="V131" i="1"/>
  <c r="BB131" i="1" s="1"/>
  <c r="W322" i="1"/>
  <c r="AD322" i="1" s="1"/>
  <c r="AF322" i="1" s="1"/>
  <c r="W351" i="1"/>
  <c r="W67" i="1"/>
  <c r="W69" i="1"/>
  <c r="V323" i="1"/>
  <c r="V103" i="1"/>
  <c r="V375" i="1"/>
  <c r="V319" i="1"/>
  <c r="V133" i="1"/>
  <c r="W111" i="1"/>
  <c r="W209" i="1"/>
  <c r="W118" i="1"/>
  <c r="W211" i="1"/>
  <c r="AD211" i="1" s="1"/>
  <c r="AF211" i="1" s="1"/>
  <c r="W120" i="1"/>
  <c r="W216" i="1"/>
  <c r="V23" i="1"/>
  <c r="V37" i="1"/>
  <c r="V72" i="1"/>
  <c r="V115" i="1"/>
  <c r="BB115" i="1" s="1"/>
  <c r="V326" i="1"/>
  <c r="X326" i="1" s="1"/>
  <c r="BD326" i="1" s="1"/>
  <c r="W154" i="1"/>
  <c r="W357" i="1"/>
  <c r="V277" i="1"/>
  <c r="V168" i="1"/>
  <c r="W158" i="1"/>
  <c r="W133" i="1"/>
  <c r="V353" i="1"/>
  <c r="X21" i="1"/>
  <c r="BD21" i="1" s="1"/>
  <c r="BC261" i="1"/>
  <c r="V144" i="1"/>
  <c r="V234" i="1"/>
  <c r="W311" i="1"/>
  <c r="AD311" i="1" s="1"/>
  <c r="AF311" i="1" s="1"/>
  <c r="W374" i="1"/>
  <c r="V343" i="1"/>
  <c r="V358" i="1"/>
  <c r="X358" i="1" s="1"/>
  <c r="BD358" i="1" s="1"/>
  <c r="V38" i="1"/>
  <c r="X38" i="1" s="1"/>
  <c r="BD38" i="1" s="1"/>
  <c r="W350" i="1"/>
  <c r="V53" i="1"/>
  <c r="V130" i="1"/>
  <c r="V129" i="1"/>
  <c r="W243" i="1"/>
  <c r="V90" i="1"/>
  <c r="V18" i="1"/>
  <c r="V195" i="1"/>
  <c r="V145" i="1"/>
  <c r="V171" i="1"/>
  <c r="V309" i="1"/>
  <c r="V242" i="1"/>
  <c r="W340" i="1"/>
  <c r="W343" i="1"/>
  <c r="BC343" i="1" s="1"/>
  <c r="W152" i="1"/>
  <c r="W272" i="1"/>
  <c r="W84" i="1"/>
  <c r="V179" i="1"/>
  <c r="AC179" i="1" s="1"/>
  <c r="AE179" i="1" s="1"/>
  <c r="AG179" i="1" s="1"/>
  <c r="AB179" i="1" s="1"/>
  <c r="V315" i="1"/>
  <c r="W353" i="1"/>
  <c r="W28" i="1"/>
  <c r="X28" i="1" s="1"/>
  <c r="BD28" i="1" s="1"/>
  <c r="V340" i="1"/>
  <c r="AC340" i="1" s="1"/>
  <c r="AE340" i="1" s="1"/>
  <c r="V139" i="1"/>
  <c r="V262" i="1"/>
  <c r="V114" i="1"/>
  <c r="W47" i="1"/>
  <c r="V281" i="1"/>
  <c r="BB281" i="1" s="1"/>
  <c r="V314" i="1"/>
  <c r="V55" i="1"/>
  <c r="W266" i="1"/>
  <c r="V105" i="1"/>
  <c r="V117" i="1"/>
  <c r="V134" i="1"/>
  <c r="V365" i="1"/>
  <c r="V188" i="1"/>
  <c r="BB188" i="1" s="1"/>
  <c r="V294" i="1"/>
  <c r="V193" i="1"/>
  <c r="BB193" i="1" s="1"/>
  <c r="V334" i="1"/>
  <c r="W339" i="1"/>
  <c r="V273" i="1"/>
  <c r="W85" i="1"/>
  <c r="BC85" i="1" s="1"/>
  <c r="V106" i="1"/>
  <c r="BB106" i="1" s="1"/>
  <c r="V246" i="1"/>
  <c r="V354" i="1"/>
  <c r="V116" i="1"/>
  <c r="X116" i="1" s="1"/>
  <c r="BD116" i="1" s="1"/>
  <c r="V363" i="1"/>
  <c r="X363" i="1" s="1"/>
  <c r="BD363" i="1" s="1"/>
  <c r="W288" i="1"/>
  <c r="W104" i="1"/>
  <c r="W78" i="1"/>
  <c r="BC78" i="1" s="1"/>
  <c r="W71" i="1"/>
  <c r="W224" i="1"/>
  <c r="W149" i="1"/>
  <c r="W204" i="1"/>
  <c r="W26" i="1"/>
  <c r="W378" i="1"/>
  <c r="W320" i="1"/>
  <c r="W44" i="1"/>
  <c r="W300" i="1"/>
  <c r="BC300" i="1" s="1"/>
  <c r="W57" i="1"/>
  <c r="W383" i="1"/>
  <c r="V35" i="1"/>
  <c r="V260" i="1"/>
  <c r="W330" i="1"/>
  <c r="W52" i="1"/>
  <c r="W144" i="1"/>
  <c r="BC144" i="1" s="1"/>
  <c r="W167" i="1"/>
  <c r="W178" i="1"/>
  <c r="W242" i="1"/>
  <c r="W32" i="1"/>
  <c r="BC32" i="1" s="1"/>
  <c r="V297" i="1"/>
  <c r="W276" i="1"/>
  <c r="V350" i="1"/>
  <c r="W64" i="1"/>
  <c r="W75" i="1"/>
  <c r="V79" i="1"/>
  <c r="V61" i="1"/>
  <c r="V203" i="1"/>
  <c r="AC203" i="1" s="1"/>
  <c r="AE203" i="1" s="1"/>
  <c r="V371" i="1"/>
  <c r="V98" i="1"/>
  <c r="BB98" i="1" s="1"/>
  <c r="W291" i="1"/>
  <c r="W210" i="1"/>
  <c r="AD210" i="1" s="1"/>
  <c r="AF210" i="1" s="1"/>
  <c r="W246" i="1"/>
  <c r="BC246" i="1" s="1"/>
  <c r="W40" i="1"/>
  <c r="W248" i="1"/>
  <c r="BC248" i="1" s="1"/>
  <c r="V389" i="1"/>
  <c r="V24" i="1"/>
  <c r="BB24" i="1" s="1"/>
  <c r="V101" i="1"/>
  <c r="V218" i="1"/>
  <c r="V73" i="1"/>
  <c r="BB73" i="1" s="1"/>
  <c r="V96" i="1"/>
  <c r="W184" i="1"/>
  <c r="W162" i="1"/>
  <c r="V149" i="1"/>
  <c r="BB149" i="1" s="1"/>
  <c r="V85" i="1"/>
  <c r="W312" i="1"/>
  <c r="X312" i="1" s="1"/>
  <c r="BD312" i="1" s="1"/>
  <c r="W278" i="1"/>
  <c r="W269" i="1"/>
  <c r="V290" i="1"/>
  <c r="W273" i="1"/>
  <c r="V60" i="1"/>
  <c r="W346" i="1"/>
  <c r="V121" i="1"/>
  <c r="BB121" i="1" s="1"/>
  <c r="V213" i="1"/>
  <c r="V67" i="1"/>
  <c r="V372" i="1"/>
  <c r="V283" i="1"/>
  <c r="BB283" i="1" s="1"/>
  <c r="V332" i="1"/>
  <c r="BB332" i="1" s="1"/>
  <c r="V216" i="1"/>
  <c r="X216" i="1" s="1"/>
  <c r="BD216" i="1" s="1"/>
  <c r="W347" i="1"/>
  <c r="V42" i="1"/>
  <c r="V118" i="1"/>
  <c r="V40" i="1"/>
  <c r="V200" i="1"/>
  <c r="X200" i="1" s="1"/>
  <c r="BD200" i="1" s="1"/>
  <c r="V162" i="1"/>
  <c r="BB162" i="1" s="1"/>
  <c r="W325" i="1"/>
  <c r="W101" i="1"/>
  <c r="BC101" i="1" s="1"/>
  <c r="W113" i="1"/>
  <c r="V308" i="1"/>
  <c r="V177" i="1"/>
  <c r="V235" i="1"/>
  <c r="V307" i="1"/>
  <c r="W190" i="1"/>
  <c r="BC190" i="1" s="1"/>
  <c r="W141" i="1"/>
  <c r="W139" i="1"/>
  <c r="W389" i="1"/>
  <c r="W143" i="1"/>
  <c r="W289" i="1"/>
  <c r="X289" i="1" s="1"/>
  <c r="BD289" i="1" s="1"/>
  <c r="V253" i="1"/>
  <c r="V51" i="1"/>
  <c r="X51" i="1" s="1"/>
  <c r="BD51" i="1" s="1"/>
  <c r="W256" i="1"/>
  <c r="BC256" i="1" s="1"/>
  <c r="W49" i="1"/>
  <c r="V231" i="1"/>
  <c r="V141" i="1"/>
  <c r="BB141" i="1" s="1"/>
  <c r="V190" i="1"/>
  <c r="V59" i="1"/>
  <c r="W153" i="1"/>
  <c r="V336" i="1"/>
  <c r="X336" i="1" s="1"/>
  <c r="BD336" i="1" s="1"/>
  <c r="V229" i="1"/>
  <c r="V76" i="1"/>
  <c r="V361" i="1"/>
  <c r="V268" i="1"/>
  <c r="V62" i="1"/>
  <c r="V329" i="1"/>
  <c r="BB329" i="1" s="1"/>
  <c r="V310" i="1"/>
  <c r="V150" i="1"/>
  <c r="V137" i="1"/>
  <c r="BB137" i="1" s="1"/>
  <c r="V20" i="1"/>
  <c r="V56" i="1"/>
  <c r="W189" i="1"/>
  <c r="V152" i="1"/>
  <c r="AC152" i="1" s="1"/>
  <c r="AE152" i="1" s="1"/>
  <c r="AG152" i="1" s="1"/>
  <c r="AB152" i="1" s="1"/>
  <c r="W83" i="1"/>
  <c r="V99" i="1"/>
  <c r="V89" i="1"/>
  <c r="AC89" i="1" s="1"/>
  <c r="AE89" i="1" s="1"/>
  <c r="V34" i="1"/>
  <c r="V212" i="1"/>
  <c r="V214" i="1"/>
  <c r="W213" i="1"/>
  <c r="AD213" i="1" s="1"/>
  <c r="AF213" i="1" s="1"/>
  <c r="W94" i="1"/>
  <c r="AD94" i="1" s="1"/>
  <c r="AF94" i="1" s="1"/>
  <c r="W110" i="1"/>
  <c r="X110" i="1" s="1"/>
  <c r="BD110" i="1" s="1"/>
  <c r="W97" i="1"/>
  <c r="W218" i="1"/>
  <c r="AD218" i="1" s="1"/>
  <c r="AF218" i="1" s="1"/>
  <c r="W25" i="1"/>
  <c r="W252" i="1"/>
  <c r="W180" i="1"/>
  <c r="W134" i="1"/>
  <c r="W329" i="1"/>
  <c r="W333" i="1"/>
  <c r="W331" i="1"/>
  <c r="W377" i="1"/>
  <c r="W193" i="1"/>
  <c r="V215" i="1"/>
  <c r="X215" i="1" s="1"/>
  <c r="BD215" i="1" s="1"/>
  <c r="V346" i="1"/>
  <c r="W79" i="1"/>
  <c r="W124" i="1"/>
  <c r="AD124" i="1" s="1"/>
  <c r="AF124" i="1" s="1"/>
  <c r="W232" i="1"/>
  <c r="W165" i="1"/>
  <c r="W172" i="1"/>
  <c r="BC172" i="1" s="1"/>
  <c r="W194" i="1"/>
  <c r="AD194" i="1" s="1"/>
  <c r="AF194" i="1" s="1"/>
  <c r="W59" i="1"/>
  <c r="V311" i="1"/>
  <c r="W45" i="1"/>
  <c r="V39" i="1"/>
  <c r="W65" i="1"/>
  <c r="W126" i="1"/>
  <c r="V202" i="1"/>
  <c r="AC202" i="1" s="1"/>
  <c r="AE202" i="1" s="1"/>
  <c r="V125" i="1"/>
  <c r="BB125" i="1" s="1"/>
  <c r="V205" i="1"/>
  <c r="X205" i="1" s="1"/>
  <c r="BD205" i="1" s="1"/>
  <c r="V324" i="1"/>
  <c r="V192" i="1"/>
  <c r="BB192" i="1" s="1"/>
  <c r="W41" i="1"/>
  <c r="W108" i="1"/>
  <c r="X108" i="1" s="1"/>
  <c r="BD108" i="1" s="1"/>
  <c r="W95" i="1"/>
  <c r="W34" i="1"/>
  <c r="V155" i="1"/>
  <c r="V390" i="1"/>
  <c r="W164" i="1"/>
  <c r="V92" i="1"/>
  <c r="BB92" i="1" s="1"/>
  <c r="V325" i="1"/>
  <c r="V220" i="1"/>
  <c r="AC220" i="1" s="1"/>
  <c r="AE220" i="1" s="1"/>
  <c r="V224" i="1"/>
  <c r="V160" i="1"/>
  <c r="AC160" i="1" s="1"/>
  <c r="AE160" i="1" s="1"/>
  <c r="V263" i="1"/>
  <c r="V148" i="1"/>
  <c r="V30" i="1"/>
  <c r="W376" i="1"/>
  <c r="X376" i="1" s="1"/>
  <c r="BD376" i="1" s="1"/>
  <c r="W244" i="1"/>
  <c r="W155" i="1"/>
  <c r="L9" i="71"/>
  <c r="BC363" i="1"/>
  <c r="BC317" i="1"/>
  <c r="AD100" i="1"/>
  <c r="AF100" i="1" s="1"/>
  <c r="AG367" i="1"/>
  <c r="AB367" i="1" s="1"/>
  <c r="AC114" i="1"/>
  <c r="AE114" i="1" s="1"/>
  <c r="AC231" i="1"/>
  <c r="AE231" i="1" s="1"/>
  <c r="AC190" i="1"/>
  <c r="AE190" i="1" s="1"/>
  <c r="AC229" i="1"/>
  <c r="AE229" i="1" s="1"/>
  <c r="AG229" i="1" s="1"/>
  <c r="AB229" i="1" s="1"/>
  <c r="AC310" i="1"/>
  <c r="AE310" i="1" s="1"/>
  <c r="AD110" i="1"/>
  <c r="AF110" i="1" s="1"/>
  <c r="AD134" i="1"/>
  <c r="AF134" i="1" s="1"/>
  <c r="BC126" i="1"/>
  <c r="AC324" i="1"/>
  <c r="AE324" i="1" s="1"/>
  <c r="AC263" i="1"/>
  <c r="AE263" i="1" s="1"/>
  <c r="AC165" i="1"/>
  <c r="AE165" i="1" s="1"/>
  <c r="AC173" i="1"/>
  <c r="AE173" i="1" s="1"/>
  <c r="BB173" i="1"/>
  <c r="AD199" i="1"/>
  <c r="AF199" i="1" s="1"/>
  <c r="BC199" i="1"/>
  <c r="AD255" i="1"/>
  <c r="AF255" i="1" s="1"/>
  <c r="AD50" i="1"/>
  <c r="AF50" i="1" s="1"/>
  <c r="BC50" i="1"/>
  <c r="BB201" i="1"/>
  <c r="AC86" i="1"/>
  <c r="AE86" i="1" s="1"/>
  <c r="BB86" i="1"/>
  <c r="BB287" i="1"/>
  <c r="AC287" i="1"/>
  <c r="AE287" i="1" s="1"/>
  <c r="BB64" i="1"/>
  <c r="AC64" i="1"/>
  <c r="AE64" i="1" s="1"/>
  <c r="BB174" i="1"/>
  <c r="AC174" i="1"/>
  <c r="AE174" i="1" s="1"/>
  <c r="BB382" i="1"/>
  <c r="AC341" i="1"/>
  <c r="AE341" i="1" s="1"/>
  <c r="BB19" i="1"/>
  <c r="BB344" i="1"/>
  <c r="BC338" i="1"/>
  <c r="BC168" i="1"/>
  <c r="AD168" i="1"/>
  <c r="AF168" i="1" s="1"/>
  <c r="BB291" i="1"/>
  <c r="AC211" i="1"/>
  <c r="AE211" i="1" s="1"/>
  <c r="BB211" i="1"/>
  <c r="BB227" i="1"/>
  <c r="BC72" i="1"/>
  <c r="AD72" i="1"/>
  <c r="AF72" i="1" s="1"/>
  <c r="AD301" i="1"/>
  <c r="AF301" i="1" s="1"/>
  <c r="BC301" i="1"/>
  <c r="AD318" i="1"/>
  <c r="AF318" i="1" s="1"/>
  <c r="BC318" i="1"/>
  <c r="AD365" i="1"/>
  <c r="AF365" i="1" s="1"/>
  <c r="BC365" i="1"/>
  <c r="AD284" i="1"/>
  <c r="AF284" i="1" s="1"/>
  <c r="BB28" i="1"/>
  <c r="AD166" i="1"/>
  <c r="AF166" i="1" s="1"/>
  <c r="BC166" i="1"/>
  <c r="BC197" i="1"/>
  <c r="BC240" i="1"/>
  <c r="BC121" i="1"/>
  <c r="AD121" i="1"/>
  <c r="AF121" i="1" s="1"/>
  <c r="X259" i="1"/>
  <c r="BD259" i="1" s="1"/>
  <c r="AC259" i="1"/>
  <c r="AE259" i="1" s="1"/>
  <c r="BC105" i="1"/>
  <c r="AD105" i="1"/>
  <c r="AF105" i="1" s="1"/>
  <c r="AC313" i="1"/>
  <c r="AE313" i="1" s="1"/>
  <c r="BB313" i="1"/>
  <c r="BB26" i="1"/>
  <c r="AD43" i="1"/>
  <c r="AF43" i="1" s="1"/>
  <c r="BC43" i="1"/>
  <c r="AD89" i="1"/>
  <c r="AF89" i="1" s="1"/>
  <c r="BC89" i="1"/>
  <c r="BB384" i="1"/>
  <c r="BC259" i="1"/>
  <c r="AC94" i="1"/>
  <c r="AE94" i="1" s="1"/>
  <c r="BB94" i="1"/>
  <c r="AC360" i="1"/>
  <c r="AE360" i="1" s="1"/>
  <c r="BB360" i="1"/>
  <c r="BB83" i="1"/>
  <c r="AD200" i="1"/>
  <c r="AF200" i="1" s="1"/>
  <c r="BC200" i="1"/>
  <c r="AG66" i="1"/>
  <c r="AB66" i="1" s="1"/>
  <c r="AC196" i="1"/>
  <c r="AE196" i="1" s="1"/>
  <c r="BB196" i="1"/>
  <c r="X166" i="1"/>
  <c r="BD166" i="1" s="1"/>
  <c r="BB166" i="1"/>
  <c r="BC379" i="1"/>
  <c r="AD379" i="1"/>
  <c r="AF379" i="1" s="1"/>
  <c r="AC46" i="1"/>
  <c r="AE46" i="1" s="1"/>
  <c r="AG46" i="1" s="1"/>
  <c r="AB46" i="1" s="1"/>
  <c r="BB46" i="1"/>
  <c r="BC215" i="1"/>
  <c r="AD215" i="1"/>
  <c r="AF215" i="1" s="1"/>
  <c r="X379" i="1"/>
  <c r="BD379" i="1" s="1"/>
  <c r="BB379" i="1"/>
  <c r="AD23" i="1"/>
  <c r="AF23" i="1" s="1"/>
  <c r="BC23" i="1"/>
  <c r="BB351" i="1"/>
  <c r="AC351" i="1"/>
  <c r="AE351" i="1" s="1"/>
  <c r="AC69" i="1"/>
  <c r="AE69" i="1" s="1"/>
  <c r="BB69" i="1"/>
  <c r="BB175" i="1"/>
  <c r="AC175" i="1"/>
  <c r="AE175" i="1" s="1"/>
  <c r="AC328" i="1"/>
  <c r="AE328" i="1" s="1"/>
  <c r="BB328" i="1"/>
  <c r="AC285" i="1"/>
  <c r="AE285" i="1" s="1"/>
  <c r="BB285" i="1"/>
  <c r="BC38" i="1"/>
  <c r="AD30" i="1"/>
  <c r="AF30" i="1" s="1"/>
  <c r="BC30" i="1"/>
  <c r="X112" i="1"/>
  <c r="BD112" i="1" s="1"/>
  <c r="BB112" i="1"/>
  <c r="AC112" i="1"/>
  <c r="AE112" i="1" s="1"/>
  <c r="BB88" i="1"/>
  <c r="AC88" i="1"/>
  <c r="AE88" i="1" s="1"/>
  <c r="BB185" i="1"/>
  <c r="AD226" i="1"/>
  <c r="AF226" i="1" s="1"/>
  <c r="BC226" i="1"/>
  <c r="AD93" i="1"/>
  <c r="AF93" i="1" s="1"/>
  <c r="BC93" i="1"/>
  <c r="AD87" i="1"/>
  <c r="AF87" i="1" s="1"/>
  <c r="BC87" i="1"/>
  <c r="AD310" i="1"/>
  <c r="AF310" i="1" s="1"/>
  <c r="BC310" i="1"/>
  <c r="AD129" i="1"/>
  <c r="AF129" i="1" s="1"/>
  <c r="BC129" i="1"/>
  <c r="X217" i="1"/>
  <c r="BD217" i="1" s="1"/>
  <c r="BB217" i="1"/>
  <c r="AC217" i="1"/>
  <c r="AE217" i="1" s="1"/>
  <c r="AD230" i="1"/>
  <c r="AF230" i="1" s="1"/>
  <c r="BC230" i="1"/>
  <c r="AD238" i="1"/>
  <c r="AF238" i="1" s="1"/>
  <c r="BC238" i="1"/>
  <c r="BC58" i="1"/>
  <c r="AD58" i="1"/>
  <c r="AF58" i="1" s="1"/>
  <c r="AC164" i="1"/>
  <c r="AE164" i="1" s="1"/>
  <c r="BB164" i="1"/>
  <c r="BC68" i="1"/>
  <c r="AD68" i="1"/>
  <c r="AF68" i="1" s="1"/>
  <c r="AD117" i="1"/>
  <c r="AF117" i="1" s="1"/>
  <c r="BC117" i="1"/>
  <c r="BB204" i="1"/>
  <c r="AC204" i="1"/>
  <c r="AE204" i="1" s="1"/>
  <c r="AC180" i="1"/>
  <c r="AE180" i="1" s="1"/>
  <c r="AD107" i="1"/>
  <c r="AF107" i="1" s="1"/>
  <c r="BC107" i="1"/>
  <c r="AD249" i="1"/>
  <c r="AF249" i="1" s="1"/>
  <c r="BC249" i="1"/>
  <c r="BB392" i="1"/>
  <c r="AD22" i="1"/>
  <c r="AF22" i="1" s="1"/>
  <c r="BC22" i="1"/>
  <c r="AC110" i="1"/>
  <c r="AE110" i="1" s="1"/>
  <c r="X33" i="1"/>
  <c r="BD33" i="1" s="1"/>
  <c r="AC33" i="1"/>
  <c r="AE33" i="1" s="1"/>
  <c r="BB33" i="1"/>
  <c r="X93" i="1"/>
  <c r="BD93" i="1" s="1"/>
  <c r="AC93" i="1"/>
  <c r="AE93" i="1" s="1"/>
  <c r="BB93" i="1"/>
  <c r="AC81" i="1"/>
  <c r="AE81" i="1" s="1"/>
  <c r="BB81" i="1"/>
  <c r="BB347" i="1"/>
  <c r="AC347" i="1"/>
  <c r="AE347" i="1" s="1"/>
  <c r="AC374" i="1"/>
  <c r="AE374" i="1" s="1"/>
  <c r="AC240" i="1"/>
  <c r="AE240" i="1" s="1"/>
  <c r="BB240" i="1"/>
  <c r="BB169" i="1"/>
  <c r="AC169" i="1"/>
  <c r="AE169" i="1" s="1"/>
  <c r="AD369" i="1"/>
  <c r="AF369" i="1" s="1"/>
  <c r="BC369" i="1"/>
  <c r="AD366" i="1"/>
  <c r="AF366" i="1" s="1"/>
  <c r="BC366" i="1"/>
  <c r="BC352" i="1"/>
  <c r="AD352" i="1"/>
  <c r="AF352" i="1" s="1"/>
  <c r="BC217" i="1"/>
  <c r="AD217" i="1"/>
  <c r="AF217" i="1" s="1"/>
  <c r="AC335" i="1"/>
  <c r="AE335" i="1" s="1"/>
  <c r="BB335" i="1"/>
  <c r="BB245" i="1"/>
  <c r="AC239" i="1"/>
  <c r="AE239" i="1" s="1"/>
  <c r="AC337" i="1"/>
  <c r="AE337" i="1" s="1"/>
  <c r="BB337" i="1"/>
  <c r="X359" i="1"/>
  <c r="BD359" i="1" s="1"/>
  <c r="BB359" i="1"/>
  <c r="BB349" i="1"/>
  <c r="AD342" i="1"/>
  <c r="AF342" i="1" s="1"/>
  <c r="BC342" i="1"/>
  <c r="AD80" i="1"/>
  <c r="AF80" i="1" s="1"/>
  <c r="BB31" i="1"/>
  <c r="BB299" i="1"/>
  <c r="AC120" i="1"/>
  <c r="AE120" i="1" s="1"/>
  <c r="BB120" i="1"/>
  <c r="BB154" i="1"/>
  <c r="AD33" i="1"/>
  <c r="AF33" i="1" s="1"/>
  <c r="BC33" i="1"/>
  <c r="AD221" i="1"/>
  <c r="AF221" i="1" s="1"/>
  <c r="BC221" i="1"/>
  <c r="BC170" i="1"/>
  <c r="BC151" i="1"/>
  <c r="AD382" i="1"/>
  <c r="AF382" i="1" s="1"/>
  <c r="AD188" i="1"/>
  <c r="AF188" i="1" s="1"/>
  <c r="BC188" i="1"/>
  <c r="AD341" i="1"/>
  <c r="AF341" i="1" s="1"/>
  <c r="BB345" i="1"/>
  <c r="AC345" i="1"/>
  <c r="AE345" i="1" s="1"/>
  <c r="AD169" i="1"/>
  <c r="AF169" i="1" s="1"/>
  <c r="AD302" i="1"/>
  <c r="AF302" i="1" s="1"/>
  <c r="X74" i="1"/>
  <c r="BD74" i="1" s="1"/>
  <c r="BB74" i="1"/>
  <c r="X22" i="1"/>
  <c r="BD22" i="1" s="1"/>
  <c r="BB22" i="1"/>
  <c r="AD237" i="1"/>
  <c r="AF237" i="1" s="1"/>
  <c r="AD122" i="1"/>
  <c r="AF122" i="1" s="1"/>
  <c r="BC122" i="1"/>
  <c r="AC156" i="1"/>
  <c r="AE156" i="1" s="1"/>
  <c r="BB252" i="1"/>
  <c r="BB378" i="1"/>
  <c r="AD112" i="1"/>
  <c r="AF112" i="1" s="1"/>
  <c r="BC90" i="1"/>
  <c r="AD90" i="1"/>
  <c r="AF90" i="1" s="1"/>
  <c r="BB97" i="1"/>
  <c r="AC221" i="1"/>
  <c r="AE221" i="1" s="1"/>
  <c r="BB221" i="1"/>
  <c r="BB163" i="1"/>
  <c r="AC163" i="1"/>
  <c r="AE163" i="1" s="1"/>
  <c r="BC82" i="1"/>
  <c r="S127" i="1"/>
  <c r="AD127" i="1"/>
  <c r="AF127" i="1" s="1"/>
  <c r="AG388" i="1"/>
  <c r="AB388" i="1" s="1"/>
  <c r="H33" i="139"/>
  <c r="AC178" i="1"/>
  <c r="AE178" i="1" s="1"/>
  <c r="BB178" i="1"/>
  <c r="AC176" i="1"/>
  <c r="AE176" i="1" s="1"/>
  <c r="BB176" i="1"/>
  <c r="AC270" i="1"/>
  <c r="AE270" i="1" s="1"/>
  <c r="BB270" i="1"/>
  <c r="X352" i="1"/>
  <c r="BD352" i="1" s="1"/>
  <c r="BB352" i="1"/>
  <c r="X369" i="1"/>
  <c r="BD369" i="1" s="1"/>
  <c r="BB369" i="1"/>
  <c r="AC369" i="1"/>
  <c r="AE369" i="1" s="1"/>
  <c r="BB199" i="1"/>
  <c r="X282" i="1"/>
  <c r="BD282" i="1" s="1"/>
  <c r="X342" i="1"/>
  <c r="BD342" i="1" s="1"/>
  <c r="BB342" i="1"/>
  <c r="BB288" i="1"/>
  <c r="AC241" i="1"/>
  <c r="AE241" i="1" s="1"/>
  <c r="BB236" i="1"/>
  <c r="AC320" i="1"/>
  <c r="AE320" i="1" s="1"/>
  <c r="AC331" i="1"/>
  <c r="AE331" i="1" s="1"/>
  <c r="X128" i="1"/>
  <c r="BD128" i="1" s="1"/>
  <c r="AC295" i="1"/>
  <c r="AE295" i="1" s="1"/>
  <c r="BC281" i="1"/>
  <c r="AD281" i="1"/>
  <c r="AF281" i="1" s="1"/>
  <c r="BB109" i="1"/>
  <c r="X43" i="1"/>
  <c r="BD43" i="1" s="1"/>
  <c r="BB43" i="1"/>
  <c r="AD371" i="1"/>
  <c r="AF371" i="1" s="1"/>
  <c r="AD359" i="1"/>
  <c r="AF359" i="1" s="1"/>
  <c r="AD103" i="1"/>
  <c r="AF103" i="1" s="1"/>
  <c r="AD306" i="1"/>
  <c r="AF306" i="1" s="1"/>
  <c r="BC63" i="1"/>
  <c r="AC318" i="1"/>
  <c r="AE318" i="1" s="1"/>
  <c r="AC254" i="1"/>
  <c r="AE254" i="1" s="1"/>
  <c r="AG254" i="1" s="1"/>
  <c r="AB254" i="1" s="1"/>
  <c r="AD116" i="1"/>
  <c r="AF116" i="1" s="1"/>
  <c r="BC385" i="1"/>
  <c r="S21" i="1"/>
  <c r="AD21" i="1"/>
  <c r="AF21" i="1" s="1"/>
  <c r="AG21" i="1" s="1"/>
  <c r="AB21" i="1" s="1"/>
  <c r="AC232" i="1"/>
  <c r="AE232" i="1" s="1"/>
  <c r="BB172" i="1"/>
  <c r="BC131" i="1"/>
  <c r="AD267" i="1"/>
  <c r="AF267" i="1" s="1"/>
  <c r="AC143" i="1"/>
  <c r="AE143" i="1" s="1"/>
  <c r="BB364" i="1"/>
  <c r="X68" i="1"/>
  <c r="BD68" i="1" s="1"/>
  <c r="BB63" i="1"/>
  <c r="BB284" i="1"/>
  <c r="AC41" i="1"/>
  <c r="AE41" i="1" s="1"/>
  <c r="AG41" i="1" s="1"/>
  <c r="AB41" i="1" s="1"/>
  <c r="AD368" i="1"/>
  <c r="AF368" i="1" s="1"/>
  <c r="AD324" i="1"/>
  <c r="AF324" i="1" s="1"/>
  <c r="AD332" i="1"/>
  <c r="AF332" i="1" s="1"/>
  <c r="BB52" i="1"/>
  <c r="AC244" i="1"/>
  <c r="AE244" i="1" s="1"/>
  <c r="AG244" i="1" s="1"/>
  <c r="AB244" i="1" s="1"/>
  <c r="AC303" i="1"/>
  <c r="AE303" i="1" s="1"/>
  <c r="BB303" i="1"/>
  <c r="BC135" i="1"/>
  <c r="AD135" i="1"/>
  <c r="AF135" i="1" s="1"/>
  <c r="BB267" i="1"/>
  <c r="AC267" i="1"/>
  <c r="AE267" i="1" s="1"/>
  <c r="AC372" i="1"/>
  <c r="AE372" i="1" s="1"/>
  <c r="AC130" i="1"/>
  <c r="AE130" i="1" s="1"/>
  <c r="AC129" i="1"/>
  <c r="AE129" i="1" s="1"/>
  <c r="AC103" i="1"/>
  <c r="AE103" i="1" s="1"/>
  <c r="AC319" i="1"/>
  <c r="AE319" i="1" s="1"/>
  <c r="AG319" i="1" s="1"/>
  <c r="AB319" i="1" s="1"/>
  <c r="AC277" i="1"/>
  <c r="AE277" i="1" s="1"/>
  <c r="AG293" i="1"/>
  <c r="AB293" i="1" s="1"/>
  <c r="L57" i="71"/>
  <c r="P4" i="1"/>
  <c r="Q14" i="1"/>
  <c r="Q127" i="1"/>
  <c r="Q21" i="1"/>
  <c r="L19" i="71"/>
  <c r="L51" i="71"/>
  <c r="AD16" i="1"/>
  <c r="G55" i="139"/>
  <c r="AC10" i="1"/>
  <c r="AE10" i="1" s="1"/>
  <c r="H55" i="139" s="1"/>
  <c r="AD7" i="1"/>
  <c r="AF7" i="1" s="1"/>
  <c r="H44" i="139"/>
  <c r="G53" i="139"/>
  <c r="G48" i="139"/>
  <c r="AC12" i="1"/>
  <c r="AE12" i="1" s="1"/>
  <c r="G29" i="139"/>
  <c r="V11" i="1"/>
  <c r="L53" i="71"/>
  <c r="L35" i="71"/>
  <c r="L11" i="71"/>
  <c r="L2" i="139"/>
  <c r="L23" i="71"/>
  <c r="G31" i="139"/>
  <c r="G10" i="139"/>
  <c r="G22" i="139"/>
  <c r="G15" i="139"/>
  <c r="G44" i="139"/>
  <c r="BF4" i="1"/>
  <c r="L49" i="71"/>
  <c r="L29" i="71"/>
  <c r="L38" i="71"/>
  <c r="L7" i="71"/>
  <c r="W9" i="1"/>
  <c r="AD9" i="1" s="1"/>
  <c r="L12" i="71"/>
  <c r="L27" i="71"/>
  <c r="W15" i="1"/>
  <c r="L24" i="71"/>
  <c r="L22" i="71"/>
  <c r="L54" i="71"/>
  <c r="L60" i="71"/>
  <c r="BB12" i="1"/>
  <c r="O32" i="139"/>
  <c r="L59" i="71"/>
  <c r="L17" i="71"/>
  <c r="L58" i="71"/>
  <c r="L55" i="71"/>
  <c r="L52" i="71"/>
  <c r="L48" i="71"/>
  <c r="L41" i="71"/>
  <c r="L36" i="71"/>
  <c r="V6" i="1"/>
  <c r="AC6" i="1" s="1"/>
  <c r="L20" i="71"/>
  <c r="W18" i="1"/>
  <c r="L18" i="71"/>
  <c r="L10" i="71"/>
  <c r="L8" i="71"/>
  <c r="L43" i="71"/>
  <c r="BB10" i="1"/>
  <c r="L16" i="71"/>
  <c r="L32" i="71"/>
  <c r="L34" i="71"/>
  <c r="L45" i="71"/>
  <c r="L28" i="71"/>
  <c r="L14" i="71"/>
  <c r="L25" i="71"/>
  <c r="L47" i="71"/>
  <c r="L37" i="71"/>
  <c r="L6" i="71"/>
  <c r="L39" i="71"/>
  <c r="L30" i="71"/>
  <c r="V8" i="1"/>
  <c r="AC8" i="1" s="1"/>
  <c r="L46" i="71"/>
  <c r="L26" i="71"/>
  <c r="L40" i="71"/>
  <c r="L5" i="71"/>
  <c r="N15" i="139"/>
  <c r="Q15" i="139" s="1"/>
  <c r="N22" i="139"/>
  <c r="N58" i="139"/>
  <c r="N60" i="139"/>
  <c r="N44" i="139"/>
  <c r="N31" i="139"/>
  <c r="Q31" i="139" s="1"/>
  <c r="N7" i="139"/>
  <c r="Q7" i="139" s="1"/>
  <c r="N10" i="139"/>
  <c r="Q10" i="139" s="1"/>
  <c r="N33" i="139"/>
  <c r="Q33" i="139" s="1"/>
  <c r="N13" i="139"/>
  <c r="N53" i="139"/>
  <c r="N48" i="139"/>
  <c r="L15" i="71"/>
  <c r="L42" i="71"/>
  <c r="BC7" i="1"/>
  <c r="V16" i="1"/>
  <c r="V7" i="1"/>
  <c r="AC7" i="1" s="1"/>
  <c r="L31" i="71"/>
  <c r="L44" i="71"/>
  <c r="W17" i="1"/>
  <c r="W13" i="1"/>
  <c r="V14" i="1"/>
  <c r="L21" i="71"/>
  <c r="W8" i="1"/>
  <c r="AD8" i="1" s="1"/>
  <c r="L56" i="71"/>
  <c r="V15" i="1"/>
  <c r="W12" i="1"/>
  <c r="K3" i="71"/>
  <c r="W10" i="1"/>
  <c r="AD10" i="1" s="1"/>
  <c r="L33" i="71"/>
  <c r="J3" i="71"/>
  <c r="W14" i="1"/>
  <c r="L13" i="71"/>
  <c r="V13" i="1"/>
  <c r="BB17" i="1"/>
  <c r="BC6" i="1"/>
  <c r="BC11" i="1"/>
  <c r="BB9" i="1"/>
  <c r="BC16" i="1"/>
  <c r="AC342" i="1" l="1"/>
  <c r="AE342" i="1" s="1"/>
  <c r="X392" i="1"/>
  <c r="BD392" i="1" s="1"/>
  <c r="X19" i="1"/>
  <c r="BD19" i="1" s="1"/>
  <c r="X384" i="1"/>
  <c r="BD384" i="1" s="1"/>
  <c r="BC268" i="1"/>
  <c r="BC371" i="1"/>
  <c r="BC237" i="1"/>
  <c r="AD268" i="1"/>
  <c r="AF268" i="1" s="1"/>
  <c r="BC332" i="1"/>
  <c r="AG147" i="1"/>
  <c r="AB147" i="1" s="1"/>
  <c r="AC385" i="1"/>
  <c r="AE385" i="1" s="1"/>
  <c r="AC237" i="1"/>
  <c r="AE237" i="1" s="1"/>
  <c r="BB278" i="1"/>
  <c r="AC380" i="1"/>
  <c r="AE380" i="1" s="1"/>
  <c r="AC243" i="1"/>
  <c r="AE243" i="1" s="1"/>
  <c r="BB210" i="1"/>
  <c r="BB289" i="1"/>
  <c r="AC306" i="1"/>
  <c r="AE306" i="1" s="1"/>
  <c r="BB208" i="1"/>
  <c r="X90" i="1"/>
  <c r="BD90" i="1" s="1"/>
  <c r="AC260" i="1"/>
  <c r="AE260" i="1" s="1"/>
  <c r="AD235" i="1"/>
  <c r="AF235" i="1" s="1"/>
  <c r="BB327" i="1"/>
  <c r="AC236" i="1"/>
  <c r="AE236" i="1" s="1"/>
  <c r="AD297" i="1"/>
  <c r="AF297" i="1" s="1"/>
  <c r="X127" i="1"/>
  <c r="BD127" i="1" s="1"/>
  <c r="X123" i="1"/>
  <c r="BD123" i="1" s="1"/>
  <c r="X29" i="1"/>
  <c r="BD29" i="1" s="1"/>
  <c r="AD208" i="1"/>
  <c r="AF208" i="1" s="1"/>
  <c r="H53" i="139"/>
  <c r="I53" i="139" s="1"/>
  <c r="BC171" i="1"/>
  <c r="BB18" i="1"/>
  <c r="AD96" i="1"/>
  <c r="AF96" i="1" s="1"/>
  <c r="BC344" i="1"/>
  <c r="BC348" i="1"/>
  <c r="AC45" i="1"/>
  <c r="AE45" i="1" s="1"/>
  <c r="AG45" i="1" s="1"/>
  <c r="AB45" i="1" s="1"/>
  <c r="BC265" i="1"/>
  <c r="BB255" i="1"/>
  <c r="AD327" i="1"/>
  <c r="AF327" i="1" s="1"/>
  <c r="BB87" i="1"/>
  <c r="BC198" i="1"/>
  <c r="BC386" i="1"/>
  <c r="AC276" i="1"/>
  <c r="AE276" i="1" s="1"/>
  <c r="BB207" i="1"/>
  <c r="AD171" i="1"/>
  <c r="AF171" i="1" s="1"/>
  <c r="AC108" i="1"/>
  <c r="AE108" i="1" s="1"/>
  <c r="BB146" i="1"/>
  <c r="BB110" i="1"/>
  <c r="BB119" i="1"/>
  <c r="BC323" i="1"/>
  <c r="BC314" i="1"/>
  <c r="AC140" i="1"/>
  <c r="AE140" i="1" s="1"/>
  <c r="BB82" i="1"/>
  <c r="BB271" i="1"/>
  <c r="AD55" i="1"/>
  <c r="AF55" i="1" s="1"/>
  <c r="BC250" i="1"/>
  <c r="BB249" i="1"/>
  <c r="BB75" i="1"/>
  <c r="AC58" i="1"/>
  <c r="AE58" i="1" s="1"/>
  <c r="AG58" i="1" s="1"/>
  <c r="AB58" i="1" s="1"/>
  <c r="X306" i="1"/>
  <c r="BD306" i="1" s="1"/>
  <c r="X290" i="1"/>
  <c r="BD290" i="1" s="1"/>
  <c r="X334" i="1"/>
  <c r="BD334" i="1" s="1"/>
  <c r="X171" i="1"/>
  <c r="BD171" i="1" s="1"/>
  <c r="AC87" i="1"/>
  <c r="AE87" i="1" s="1"/>
  <c r="AC82" i="1"/>
  <c r="AE82" i="1" s="1"/>
  <c r="AD240" i="1"/>
  <c r="AF240" i="1" s="1"/>
  <c r="AG240" i="1" s="1"/>
  <c r="AB240" i="1" s="1"/>
  <c r="BB306" i="1"/>
  <c r="X226" i="1"/>
  <c r="BD226" i="1" s="1"/>
  <c r="AD348" i="1"/>
  <c r="AF348" i="1" s="1"/>
  <c r="AC255" i="1"/>
  <c r="AE255" i="1" s="1"/>
  <c r="X87" i="1"/>
  <c r="BD87" i="1" s="1"/>
  <c r="AD198" i="1"/>
  <c r="AF198" i="1" s="1"/>
  <c r="AD386" i="1"/>
  <c r="AF386" i="1" s="1"/>
  <c r="BC279" i="1"/>
  <c r="X270" i="1"/>
  <c r="BD270" i="1" s="1"/>
  <c r="BB238" i="1"/>
  <c r="BC223" i="1"/>
  <c r="BC245" i="1"/>
  <c r="BB108" i="1"/>
  <c r="X239" i="1"/>
  <c r="BD239" i="1" s="1"/>
  <c r="X240" i="1"/>
  <c r="BD240" i="1" s="1"/>
  <c r="AC146" i="1"/>
  <c r="AE146" i="1" s="1"/>
  <c r="BC290" i="1"/>
  <c r="AD314" i="1"/>
  <c r="AF314" i="1" s="1"/>
  <c r="X250" i="1"/>
  <c r="BD250" i="1" s="1"/>
  <c r="AD91" i="1"/>
  <c r="AF91" i="1" s="1"/>
  <c r="BC55" i="1"/>
  <c r="BC294" i="1"/>
  <c r="AC249" i="1"/>
  <c r="AE249" i="1" s="1"/>
  <c r="X58" i="1"/>
  <c r="BD58" i="1" s="1"/>
  <c r="AC119" i="1"/>
  <c r="AE119" i="1" s="1"/>
  <c r="AD323" i="1"/>
  <c r="AF323" i="1" s="1"/>
  <c r="BB58" i="1"/>
  <c r="X233" i="1"/>
  <c r="BD233" i="1" s="1"/>
  <c r="AD286" i="1"/>
  <c r="AF286" i="1" s="1"/>
  <c r="BB302" i="1"/>
  <c r="X255" i="1"/>
  <c r="BD255" i="1" s="1"/>
  <c r="BC77" i="1"/>
  <c r="AD279" i="1"/>
  <c r="AF279" i="1" s="1"/>
  <c r="BC270" i="1"/>
  <c r="AC238" i="1"/>
  <c r="AE238" i="1" s="1"/>
  <c r="AD223" i="1"/>
  <c r="AF223" i="1" s="1"/>
  <c r="AD245" i="1"/>
  <c r="AF245" i="1" s="1"/>
  <c r="BC137" i="1"/>
  <c r="AC228" i="1"/>
  <c r="AE228" i="1" s="1"/>
  <c r="AG228" i="1" s="1"/>
  <c r="AB228" i="1" s="1"/>
  <c r="AD290" i="1"/>
  <c r="AF290" i="1" s="1"/>
  <c r="BC27" i="1"/>
  <c r="BC91" i="1"/>
  <c r="AD294" i="1"/>
  <c r="AF294" i="1" s="1"/>
  <c r="BB136" i="1"/>
  <c r="BB272" i="1"/>
  <c r="X45" i="1"/>
  <c r="BD45" i="1" s="1"/>
  <c r="X35" i="1"/>
  <c r="BD35" i="1" s="1"/>
  <c r="X103" i="1"/>
  <c r="BD103" i="1" s="1"/>
  <c r="BB45" i="1"/>
  <c r="AC208" i="1"/>
  <c r="AE208" i="1" s="1"/>
  <c r="BB295" i="1"/>
  <c r="AC278" i="1"/>
  <c r="AE278" i="1" s="1"/>
  <c r="AG278" i="1" s="1"/>
  <c r="AB278" i="1" s="1"/>
  <c r="BB377" i="1"/>
  <c r="AC75" i="1"/>
  <c r="AE75" i="1" s="1"/>
  <c r="AG75" i="1" s="1"/>
  <c r="AB75" i="1" s="1"/>
  <c r="BC357" i="1"/>
  <c r="BB234" i="1"/>
  <c r="BB151" i="1"/>
  <c r="AC302" i="1"/>
  <c r="AE302" i="1" s="1"/>
  <c r="AG302" i="1" s="1"/>
  <c r="AB302" i="1" s="1"/>
  <c r="AC27" i="1"/>
  <c r="AE27" i="1" s="1"/>
  <c r="BC109" i="1"/>
  <c r="BC239" i="1"/>
  <c r="AD56" i="1"/>
  <c r="AF56" i="1" s="1"/>
  <c r="AD77" i="1"/>
  <c r="AF77" i="1" s="1"/>
  <c r="BB320" i="1"/>
  <c r="AD270" i="1"/>
  <c r="AF270" i="1" s="1"/>
  <c r="X238" i="1"/>
  <c r="BD238" i="1" s="1"/>
  <c r="BB158" i="1"/>
  <c r="BB124" i="1"/>
  <c r="AD137" i="1"/>
  <c r="AF137" i="1" s="1"/>
  <c r="BC220" i="1"/>
  <c r="X245" i="1"/>
  <c r="BD245" i="1" s="1"/>
  <c r="BB84" i="1"/>
  <c r="AC321" i="1"/>
  <c r="AE321" i="1" s="1"/>
  <c r="BB228" i="1"/>
  <c r="AD27" i="1"/>
  <c r="AF27" i="1" s="1"/>
  <c r="BB339" i="1"/>
  <c r="BB161" i="1"/>
  <c r="BC202" i="1"/>
  <c r="BC275" i="1"/>
  <c r="AC136" i="1"/>
  <c r="AE136" i="1" s="1"/>
  <c r="AC272" i="1"/>
  <c r="AE272" i="1" s="1"/>
  <c r="BC234" i="1"/>
  <c r="BB276" i="1"/>
  <c r="BB140" i="1"/>
  <c r="AC271" i="1"/>
  <c r="AE271" i="1" s="1"/>
  <c r="AG271" i="1" s="1"/>
  <c r="AB271" i="1" s="1"/>
  <c r="AD250" i="1"/>
  <c r="AF250" i="1" s="1"/>
  <c r="AC72" i="1"/>
  <c r="AE72" i="1" s="1"/>
  <c r="BB194" i="1"/>
  <c r="BB387" i="1"/>
  <c r="X302" i="1"/>
  <c r="BD302" i="1" s="1"/>
  <c r="BB27" i="1"/>
  <c r="AD109" i="1"/>
  <c r="AF109" i="1" s="1"/>
  <c r="AD239" i="1"/>
  <c r="AF239" i="1" s="1"/>
  <c r="BC56" i="1"/>
  <c r="BB95" i="1"/>
  <c r="BC35" i="1"/>
  <c r="AC158" i="1"/>
  <c r="AE158" i="1" s="1"/>
  <c r="AC124" i="1"/>
  <c r="AE124" i="1" s="1"/>
  <c r="AG124" i="1" s="1"/>
  <c r="AB124" i="1" s="1"/>
  <c r="AD220" i="1"/>
  <c r="AF220" i="1" s="1"/>
  <c r="AG220" i="1" s="1"/>
  <c r="AB220" i="1" s="1"/>
  <c r="X31" i="1"/>
  <c r="BD31" i="1" s="1"/>
  <c r="BB189" i="1"/>
  <c r="AC84" i="1"/>
  <c r="AE84" i="1" s="1"/>
  <c r="BB321" i="1"/>
  <c r="X175" i="1"/>
  <c r="BD175" i="1" s="1"/>
  <c r="AC339" i="1"/>
  <c r="AE339" i="1" s="1"/>
  <c r="AC161" i="1"/>
  <c r="AE161" i="1" s="1"/>
  <c r="BB78" i="1"/>
  <c r="BB123" i="1"/>
  <c r="AD202" i="1"/>
  <c r="AF202" i="1" s="1"/>
  <c r="AD275" i="1"/>
  <c r="AF275" i="1" s="1"/>
  <c r="AC194" i="1"/>
  <c r="AE194" i="1" s="1"/>
  <c r="BC37" i="1"/>
  <c r="BC267" i="1"/>
  <c r="X27" i="1"/>
  <c r="BD27" i="1" s="1"/>
  <c r="BC306" i="1"/>
  <c r="AC95" i="1"/>
  <c r="AE95" i="1" s="1"/>
  <c r="BC341" i="1"/>
  <c r="AD170" i="1"/>
  <c r="AF170" i="1" s="1"/>
  <c r="BC80" i="1"/>
  <c r="BB380" i="1"/>
  <c r="AC210" i="1"/>
  <c r="AE210" i="1" s="1"/>
  <c r="AG210" i="1" s="1"/>
  <c r="AB210" i="1" s="1"/>
  <c r="BB237" i="1"/>
  <c r="AC289" i="1"/>
  <c r="AE289" i="1" s="1"/>
  <c r="AC78" i="1"/>
  <c r="AE78" i="1" s="1"/>
  <c r="AD338" i="1"/>
  <c r="AF338" i="1" s="1"/>
  <c r="BB243" i="1"/>
  <c r="BC288" i="1"/>
  <c r="AC18" i="1"/>
  <c r="AE18" i="1" s="1"/>
  <c r="AG373" i="1"/>
  <c r="AB373" i="1" s="1"/>
  <c r="BB103" i="1"/>
  <c r="BC69" i="1"/>
  <c r="AD374" i="1"/>
  <c r="AF374" i="1" s="1"/>
  <c r="AG374" i="1" s="1"/>
  <c r="AB374" i="1" s="1"/>
  <c r="AC282" i="1"/>
  <c r="AE282" i="1" s="1"/>
  <c r="AG282" i="1" s="1"/>
  <c r="AB282" i="1" s="1"/>
  <c r="H15" i="139"/>
  <c r="I15" i="139" s="1"/>
  <c r="BB213" i="1"/>
  <c r="BB309" i="1"/>
  <c r="AG292" i="1"/>
  <c r="AB292" i="1" s="1"/>
  <c r="AD191" i="1"/>
  <c r="AF191" i="1" s="1"/>
  <c r="AD177" i="1"/>
  <c r="AF177" i="1" s="1"/>
  <c r="BC219" i="1"/>
  <c r="BC177" i="1"/>
  <c r="AD173" i="1"/>
  <c r="AF173" i="1" s="1"/>
  <c r="AD303" i="1"/>
  <c r="AF303" i="1" s="1"/>
  <c r="AG303" i="1" s="1"/>
  <c r="AB303" i="1" s="1"/>
  <c r="BC111" i="1"/>
  <c r="BC355" i="1"/>
  <c r="BC361" i="1"/>
  <c r="AD174" i="1"/>
  <c r="AF174" i="1" s="1"/>
  <c r="AG174" i="1" s="1"/>
  <c r="AB174" i="1" s="1"/>
  <c r="BC286" i="1"/>
  <c r="AD265" i="1"/>
  <c r="AF265" i="1" s="1"/>
  <c r="BC362" i="1"/>
  <c r="BC96" i="1"/>
  <c r="BC374" i="1"/>
  <c r="AD157" i="1"/>
  <c r="AF157" i="1" s="1"/>
  <c r="AD159" i="1"/>
  <c r="AF159" i="1" s="1"/>
  <c r="X267" i="1"/>
  <c r="BD267" i="1" s="1"/>
  <c r="X303" i="1"/>
  <c r="BD303" i="1" s="1"/>
  <c r="AD183" i="1"/>
  <c r="AF183" i="1" s="1"/>
  <c r="AD37" i="1"/>
  <c r="AF37" i="1" s="1"/>
  <c r="AD146" i="1"/>
  <c r="AF146" i="1" s="1"/>
  <c r="AG146" i="1" s="1"/>
  <c r="AB146" i="1" s="1"/>
  <c r="BC327" i="1"/>
  <c r="X295" i="1"/>
  <c r="BD295" i="1" s="1"/>
  <c r="AD118" i="1"/>
  <c r="AF118" i="1" s="1"/>
  <c r="BC173" i="1"/>
  <c r="BC212" i="1"/>
  <c r="AD234" i="1"/>
  <c r="AF234" i="1" s="1"/>
  <c r="BC276" i="1"/>
  <c r="AD355" i="1"/>
  <c r="AF355" i="1" s="1"/>
  <c r="BC160" i="1"/>
  <c r="BC303" i="1"/>
  <c r="BC205" i="1"/>
  <c r="BC336" i="1"/>
  <c r="AD264" i="1"/>
  <c r="AF264" i="1" s="1"/>
  <c r="AD63" i="1"/>
  <c r="AF63" i="1" s="1"/>
  <c r="X178" i="1"/>
  <c r="BD178" i="1" s="1"/>
  <c r="X198" i="1"/>
  <c r="BD198" i="1" s="1"/>
  <c r="BB358" i="1"/>
  <c r="BC120" i="1"/>
  <c r="AD351" i="1"/>
  <c r="AF351" i="1" s="1"/>
  <c r="AG351" i="1" s="1"/>
  <c r="AB351" i="1" s="1"/>
  <c r="AD313" i="1"/>
  <c r="AF313" i="1" s="1"/>
  <c r="AG313" i="1" s="1"/>
  <c r="AB313" i="1" s="1"/>
  <c r="AD212" i="1"/>
  <c r="AF212" i="1" s="1"/>
  <c r="AD361" i="1"/>
  <c r="AF361" i="1" s="1"/>
  <c r="AD344" i="1"/>
  <c r="AF344" i="1" s="1"/>
  <c r="AD205" i="1"/>
  <c r="AF205" i="1" s="1"/>
  <c r="AD336" i="1"/>
  <c r="AF336" i="1" s="1"/>
  <c r="AD145" i="1"/>
  <c r="AF145" i="1" s="1"/>
  <c r="AD35" i="1"/>
  <c r="AF35" i="1" s="1"/>
  <c r="AD84" i="1"/>
  <c r="AF84" i="1" s="1"/>
  <c r="AG84" i="1" s="1"/>
  <c r="AB84" i="1" s="1"/>
  <c r="X230" i="1"/>
  <c r="BD230" i="1" s="1"/>
  <c r="BC191" i="1"/>
  <c r="BC325" i="1"/>
  <c r="BC174" i="1"/>
  <c r="X288" i="1"/>
  <c r="BD288" i="1" s="1"/>
  <c r="X339" i="1"/>
  <c r="BD339" i="1" s="1"/>
  <c r="AD357" i="1"/>
  <c r="AF357" i="1" s="1"/>
  <c r="H29" i="139"/>
  <c r="AC121" i="1"/>
  <c r="AE121" i="1" s="1"/>
  <c r="BB370" i="1"/>
  <c r="X179" i="1"/>
  <c r="BD179" i="1" s="1"/>
  <c r="X281" i="1"/>
  <c r="BD281" i="1" s="1"/>
  <c r="BB72" i="1"/>
  <c r="BB130" i="1"/>
  <c r="AC234" i="1"/>
  <c r="AE234" i="1" s="1"/>
  <c r="BB53" i="1"/>
  <c r="BB226" i="1"/>
  <c r="BC304" i="1"/>
  <c r="X80" i="1"/>
  <c r="BD80" i="1" s="1"/>
  <c r="BB182" i="1"/>
  <c r="AC127" i="1"/>
  <c r="AE127" i="1" s="1"/>
  <c r="AG127" i="1" s="1"/>
  <c r="AB127" i="1" s="1"/>
  <c r="BC349" i="1"/>
  <c r="BB54" i="1"/>
  <c r="X387" i="1"/>
  <c r="BD387" i="1" s="1"/>
  <c r="BB170" i="1"/>
  <c r="AC225" i="1"/>
  <c r="AE225" i="1" s="1"/>
  <c r="AG225" i="1" s="1"/>
  <c r="AB225" i="1" s="1"/>
  <c r="BC243" i="1"/>
  <c r="H10" i="139"/>
  <c r="I10" i="139" s="1"/>
  <c r="AG187" i="1"/>
  <c r="AB187" i="1" s="1"/>
  <c r="AD113" i="1"/>
  <c r="AF113" i="1" s="1"/>
  <c r="BC44" i="1"/>
  <c r="BB168" i="1"/>
  <c r="BC118" i="1"/>
  <c r="AD69" i="1"/>
  <c r="AF69" i="1" s="1"/>
  <c r="AD295" i="1"/>
  <c r="AF295" i="1" s="1"/>
  <c r="AG295" i="1" s="1"/>
  <c r="AB295" i="1" s="1"/>
  <c r="BC204" i="1"/>
  <c r="X340" i="1"/>
  <c r="BD340" i="1" s="1"/>
  <c r="AD204" i="1"/>
  <c r="AF204" i="1" s="1"/>
  <c r="AG204" i="1" s="1"/>
  <c r="AB204" i="1" s="1"/>
  <c r="X173" i="1"/>
  <c r="BD173" i="1" s="1"/>
  <c r="AD347" i="1"/>
  <c r="AF347" i="1" s="1"/>
  <c r="AG347" i="1" s="1"/>
  <c r="AB347" i="1" s="1"/>
  <c r="AD160" i="1"/>
  <c r="AF160" i="1" s="1"/>
  <c r="AG160" i="1" s="1"/>
  <c r="AB160" i="1" s="1"/>
  <c r="X32" i="1"/>
  <c r="BD32" i="1" s="1"/>
  <c r="BC264" i="1"/>
  <c r="AD362" i="1"/>
  <c r="AF362" i="1" s="1"/>
  <c r="AD136" i="1"/>
  <c r="AF136" i="1" s="1"/>
  <c r="AC97" i="1"/>
  <c r="AE97" i="1" s="1"/>
  <c r="BC112" i="1"/>
  <c r="BC169" i="1"/>
  <c r="BC382" i="1"/>
  <c r="X169" i="1"/>
  <c r="BD169" i="1" s="1"/>
  <c r="X146" i="1"/>
  <c r="BD146" i="1" s="1"/>
  <c r="X344" i="1"/>
  <c r="BD344" i="1" s="1"/>
  <c r="X243" i="1"/>
  <c r="BD243" i="1" s="1"/>
  <c r="BB165" i="1"/>
  <c r="H41" i="139"/>
  <c r="AD325" i="1"/>
  <c r="AF325" i="1" s="1"/>
  <c r="BC346" i="1"/>
  <c r="X55" i="1"/>
  <c r="BD55" i="1" s="1"/>
  <c r="X378" i="1"/>
  <c r="BD378" i="1" s="1"/>
  <c r="X347" i="1"/>
  <c r="BD347" i="1" s="1"/>
  <c r="BB200" i="1"/>
  <c r="BC210" i="1"/>
  <c r="BC84" i="1"/>
  <c r="BC134" i="1"/>
  <c r="BC141" i="1"/>
  <c r="X134" i="1"/>
  <c r="BD134" i="1" s="1"/>
  <c r="AD120" i="1"/>
  <c r="AF120" i="1" s="1"/>
  <c r="AG120" i="1" s="1"/>
  <c r="AB120" i="1" s="1"/>
  <c r="BC159" i="1"/>
  <c r="AD298" i="1"/>
  <c r="AF298" i="1" s="1"/>
  <c r="AD243" i="1"/>
  <c r="AF243" i="1" s="1"/>
  <c r="AG243" i="1" s="1"/>
  <c r="AB243" i="1" s="1"/>
  <c r="X234" i="1"/>
  <c r="BD234" i="1" s="1"/>
  <c r="BC157" i="1"/>
  <c r="BC287" i="1"/>
  <c r="BC183" i="1"/>
  <c r="BC324" i="1"/>
  <c r="BC146" i="1"/>
  <c r="BC116" i="1"/>
  <c r="BC145" i="1"/>
  <c r="BC359" i="1"/>
  <c r="X327" i="1"/>
  <c r="BD327" i="1" s="1"/>
  <c r="BC136" i="1"/>
  <c r="AD151" i="1"/>
  <c r="AF151" i="1" s="1"/>
  <c r="X44" i="1"/>
  <c r="BD44" i="1" s="1"/>
  <c r="AD340" i="1"/>
  <c r="AF340" i="1" s="1"/>
  <c r="AG340" i="1" s="1"/>
  <c r="AB340" i="1" s="1"/>
  <c r="X237" i="1"/>
  <c r="BD237" i="1" s="1"/>
  <c r="X219" i="1"/>
  <c r="BD219" i="1" s="1"/>
  <c r="X136" i="1"/>
  <c r="BD136" i="1" s="1"/>
  <c r="AD111" i="1"/>
  <c r="AF111" i="1" s="1"/>
  <c r="BC351" i="1"/>
  <c r="BC295" i="1"/>
  <c r="BC113" i="1"/>
  <c r="AD219" i="1"/>
  <c r="AF219" i="1" s="1"/>
  <c r="AD224" i="1"/>
  <c r="AF224" i="1" s="1"/>
  <c r="X120" i="1"/>
  <c r="BD120" i="1" s="1"/>
  <c r="X84" i="1"/>
  <c r="BD84" i="1" s="1"/>
  <c r="AD330" i="1"/>
  <c r="AF330" i="1" s="1"/>
  <c r="X204" i="1"/>
  <c r="BD204" i="1" s="1"/>
  <c r="X34" i="1"/>
  <c r="BD34" i="1" s="1"/>
  <c r="X37" i="1"/>
  <c r="BD37" i="1" s="1"/>
  <c r="X296" i="1"/>
  <c r="BD296" i="1" s="1"/>
  <c r="X265" i="1"/>
  <c r="BD265" i="1" s="1"/>
  <c r="X100" i="1"/>
  <c r="BD100" i="1" s="1"/>
  <c r="BB319" i="1"/>
  <c r="AC104" i="1"/>
  <c r="AE104" i="1" s="1"/>
  <c r="X184" i="1"/>
  <c r="BD184" i="1" s="1"/>
  <c r="BB104" i="1"/>
  <c r="BB145" i="1"/>
  <c r="AC23" i="1"/>
  <c r="AE23" i="1" s="1"/>
  <c r="AG23" i="1" s="1"/>
  <c r="AB23" i="1" s="1"/>
  <c r="BB286" i="1"/>
  <c r="AC357" i="1"/>
  <c r="AE357" i="1" s="1"/>
  <c r="AG357" i="1" s="1"/>
  <c r="AB357" i="1" s="1"/>
  <c r="BB338" i="1"/>
  <c r="X386" i="1"/>
  <c r="BD386" i="1" s="1"/>
  <c r="X333" i="1"/>
  <c r="BD333" i="1" s="1"/>
  <c r="BB326" i="1"/>
  <c r="X23" i="1"/>
  <c r="BD23" i="1" s="1"/>
  <c r="AC286" i="1"/>
  <c r="AE286" i="1" s="1"/>
  <c r="AG286" i="1" s="1"/>
  <c r="AB286" i="1" s="1"/>
  <c r="BB298" i="1"/>
  <c r="X357" i="1"/>
  <c r="BD357" i="1" s="1"/>
  <c r="AC338" i="1"/>
  <c r="AE338" i="1" s="1"/>
  <c r="BB29" i="1"/>
  <c r="X319" i="1"/>
  <c r="BD319" i="1" s="1"/>
  <c r="X286" i="1"/>
  <c r="BD286" i="1" s="1"/>
  <c r="AC298" i="1"/>
  <c r="AE298" i="1" s="1"/>
  <c r="BB385" i="1"/>
  <c r="BB68" i="1"/>
  <c r="X338" i="1"/>
  <c r="BD338" i="1" s="1"/>
  <c r="BB331" i="1"/>
  <c r="X145" i="1"/>
  <c r="BD145" i="1" s="1"/>
  <c r="BB177" i="1"/>
  <c r="X41" i="1"/>
  <c r="BD41" i="1" s="1"/>
  <c r="X25" i="1"/>
  <c r="BD25" i="1" s="1"/>
  <c r="X143" i="1"/>
  <c r="BD143" i="1" s="1"/>
  <c r="AC168" i="1"/>
  <c r="AE168" i="1" s="1"/>
  <c r="AG168" i="1" s="1"/>
  <c r="AB168" i="1" s="1"/>
  <c r="X332" i="1"/>
  <c r="BD332" i="1" s="1"/>
  <c r="AC213" i="1"/>
  <c r="AE213" i="1" s="1"/>
  <c r="AG213" i="1" s="1"/>
  <c r="AB213" i="1" s="1"/>
  <c r="BB55" i="1"/>
  <c r="AC68" i="1"/>
  <c r="AE68" i="1" s="1"/>
  <c r="AG68" i="1" s="1"/>
  <c r="AB68" i="1" s="1"/>
  <c r="BB143" i="1"/>
  <c r="AC109" i="1"/>
  <c r="AE109" i="1" s="1"/>
  <c r="BB362" i="1"/>
  <c r="BB41" i="1"/>
  <c r="AC284" i="1"/>
  <c r="AE284" i="1" s="1"/>
  <c r="AG284" i="1" s="1"/>
  <c r="AB284" i="1" s="1"/>
  <c r="AC172" i="1"/>
  <c r="AE172" i="1" s="1"/>
  <c r="AC105" i="1"/>
  <c r="AE105" i="1" s="1"/>
  <c r="AG105" i="1" s="1"/>
  <c r="AB105" i="1" s="1"/>
  <c r="X168" i="1"/>
  <c r="BD168" i="1" s="1"/>
  <c r="X109" i="1"/>
  <c r="BD109" i="1" s="1"/>
  <c r="AC35" i="1"/>
  <c r="AE35" i="1" s="1"/>
  <c r="X72" i="1"/>
  <c r="BD72" i="1" s="1"/>
  <c r="X118" i="1"/>
  <c r="BD118" i="1" s="1"/>
  <c r="X309" i="1"/>
  <c r="BD309" i="1" s="1"/>
  <c r="AC226" i="1"/>
  <c r="AE226" i="1" s="1"/>
  <c r="AG226" i="1" s="1"/>
  <c r="AB226" i="1" s="1"/>
  <c r="AC362" i="1"/>
  <c r="AE362" i="1" s="1"/>
  <c r="X284" i="1"/>
  <c r="BD284" i="1" s="1"/>
  <c r="BB138" i="1"/>
  <c r="X172" i="1"/>
  <c r="BD172" i="1" s="1"/>
  <c r="AC386" i="1"/>
  <c r="AE386" i="1" s="1"/>
  <c r="AG386" i="1" s="1"/>
  <c r="AB386" i="1" s="1"/>
  <c r="BB184" i="1"/>
  <c r="BB139" i="1"/>
  <c r="BB23" i="1"/>
  <c r="BB333" i="1"/>
  <c r="X362" i="1"/>
  <c r="BD362" i="1" s="1"/>
  <c r="BB357" i="1"/>
  <c r="AC138" i="1"/>
  <c r="AE138" i="1" s="1"/>
  <c r="BB386" i="1"/>
  <c r="BB241" i="1"/>
  <c r="BB246" i="1"/>
  <c r="X141" i="1"/>
  <c r="BD141" i="1" s="1"/>
  <c r="AC133" i="1"/>
  <c r="AE133" i="1" s="1"/>
  <c r="AG133" i="1" s="1"/>
  <c r="AB133" i="1" s="1"/>
  <c r="BC150" i="1"/>
  <c r="X53" i="1"/>
  <c r="BD53" i="1" s="1"/>
  <c r="BB144" i="1"/>
  <c r="AD88" i="1"/>
  <c r="AF88" i="1" s="1"/>
  <c r="AG88" i="1" s="1"/>
  <c r="AB88" i="1" s="1"/>
  <c r="X244" i="1"/>
  <c r="BD244" i="1" s="1"/>
  <c r="AC52" i="1"/>
  <c r="AE52" i="1" s="1"/>
  <c r="AG52" i="1" s="1"/>
  <c r="AB52" i="1" s="1"/>
  <c r="BC36" i="1"/>
  <c r="X385" i="1"/>
  <c r="BD385" i="1" s="1"/>
  <c r="BB296" i="1"/>
  <c r="AC63" i="1"/>
  <c r="AE63" i="1" s="1"/>
  <c r="AC275" i="1"/>
  <c r="AE275" i="1" s="1"/>
  <c r="AC364" i="1"/>
  <c r="AE364" i="1" s="1"/>
  <c r="AD131" i="1"/>
  <c r="AF131" i="1" s="1"/>
  <c r="X208" i="1"/>
  <c r="BD208" i="1" s="1"/>
  <c r="AD385" i="1"/>
  <c r="AF385" i="1" s="1"/>
  <c r="AG385" i="1" s="1"/>
  <c r="AB385" i="1" s="1"/>
  <c r="X254" i="1"/>
  <c r="BD254" i="1" s="1"/>
  <c r="AC159" i="1"/>
  <c r="AE159" i="1" s="1"/>
  <c r="BC233" i="1"/>
  <c r="AD73" i="1"/>
  <c r="AF73" i="1" s="1"/>
  <c r="BB133" i="1"/>
  <c r="BB323" i="1"/>
  <c r="X131" i="1"/>
  <c r="BD131" i="1" s="1"/>
  <c r="BC182" i="1"/>
  <c r="AD150" i="1"/>
  <c r="AF150" i="1" s="1"/>
  <c r="BB42" i="1"/>
  <c r="BB290" i="1"/>
  <c r="AC144" i="1"/>
  <c r="AE144" i="1" s="1"/>
  <c r="BC88" i="1"/>
  <c r="AD36" i="1"/>
  <c r="AF36" i="1" s="1"/>
  <c r="BB107" i="1"/>
  <c r="BB157" i="1"/>
  <c r="X63" i="1"/>
  <c r="BD63" i="1" s="1"/>
  <c r="BB275" i="1"/>
  <c r="BB265" i="1"/>
  <c r="X364" i="1"/>
  <c r="BD364" i="1" s="1"/>
  <c r="BB100" i="1"/>
  <c r="BB159" i="1"/>
  <c r="BC103" i="1"/>
  <c r="AD233" i="1"/>
  <c r="AF233" i="1" s="1"/>
  <c r="BC73" i="1"/>
  <c r="X176" i="1"/>
  <c r="BD176" i="1" s="1"/>
  <c r="AD82" i="1"/>
  <c r="AF82" i="1" s="1"/>
  <c r="AG82" i="1" s="1"/>
  <c r="AB82" i="1" s="1"/>
  <c r="X221" i="1"/>
  <c r="BD221" i="1" s="1"/>
  <c r="X122" i="1"/>
  <c r="BD122" i="1" s="1"/>
  <c r="BB171" i="1"/>
  <c r="AD329" i="1"/>
  <c r="AF329" i="1" s="1"/>
  <c r="X188" i="1"/>
  <c r="BD188" i="1" s="1"/>
  <c r="BC211" i="1"/>
  <c r="X133" i="1"/>
  <c r="BD133" i="1" s="1"/>
  <c r="AC323" i="1"/>
  <c r="AE323" i="1" s="1"/>
  <c r="BC305" i="1"/>
  <c r="AD182" i="1"/>
  <c r="AF182" i="1" s="1"/>
  <c r="AC42" i="1"/>
  <c r="AE42" i="1" s="1"/>
  <c r="AC343" i="1"/>
  <c r="AE343" i="1" s="1"/>
  <c r="X144" i="1"/>
  <c r="BD144" i="1" s="1"/>
  <c r="BC296" i="1"/>
  <c r="AC107" i="1"/>
  <c r="AE107" i="1" s="1"/>
  <c r="AG107" i="1" s="1"/>
  <c r="AB107" i="1" s="1"/>
  <c r="AC157" i="1"/>
  <c r="AE157" i="1" s="1"/>
  <c r="X275" i="1"/>
  <c r="BD275" i="1" s="1"/>
  <c r="X159" i="1"/>
  <c r="BD159" i="1" s="1"/>
  <c r="X88" i="1"/>
  <c r="BD88" i="1" s="1"/>
  <c r="X82" i="1"/>
  <c r="BD82" i="1" s="1"/>
  <c r="G57" i="139"/>
  <c r="BB37" i="1"/>
  <c r="X323" i="1"/>
  <c r="BD323" i="1" s="1"/>
  <c r="AD305" i="1"/>
  <c r="AF305" i="1" s="1"/>
  <c r="BB343" i="1"/>
  <c r="X298" i="1"/>
  <c r="BD298" i="1" s="1"/>
  <c r="BC119" i="1"/>
  <c r="AD296" i="1"/>
  <c r="AF296" i="1" s="1"/>
  <c r="X107" i="1"/>
  <c r="BD107" i="1" s="1"/>
  <c r="X157" i="1"/>
  <c r="BD157" i="1" s="1"/>
  <c r="BC235" i="1"/>
  <c r="AC288" i="1"/>
  <c r="AE288" i="1" s="1"/>
  <c r="AC352" i="1"/>
  <c r="AE352" i="1" s="1"/>
  <c r="AG352" i="1" s="1"/>
  <c r="AB352" i="1" s="1"/>
  <c r="BC297" i="1"/>
  <c r="BC224" i="1"/>
  <c r="AC22" i="1"/>
  <c r="AE22" i="1" s="1"/>
  <c r="AG22" i="1" s="1"/>
  <c r="AB22" i="1" s="1"/>
  <c r="BC302" i="1"/>
  <c r="AC299" i="1"/>
  <c r="AE299" i="1" s="1"/>
  <c r="BB239" i="1"/>
  <c r="BB142" i="1"/>
  <c r="BB180" i="1"/>
  <c r="X119" i="1"/>
  <c r="BD119" i="1" s="1"/>
  <c r="AD38" i="1"/>
  <c r="AF38" i="1" s="1"/>
  <c r="AC379" i="1"/>
  <c r="AE379" i="1" s="1"/>
  <c r="AG379" i="1" s="1"/>
  <c r="AB379" i="1" s="1"/>
  <c r="AC155" i="1"/>
  <c r="AE155" i="1" s="1"/>
  <c r="AG155" i="1" s="1"/>
  <c r="AB155" i="1" s="1"/>
  <c r="X343" i="1"/>
  <c r="BD343" i="1" s="1"/>
  <c r="AD119" i="1"/>
  <c r="AF119" i="1" s="1"/>
  <c r="X321" i="1"/>
  <c r="BD321" i="1" s="1"/>
  <c r="BC158" i="1"/>
  <c r="AC90" i="1"/>
  <c r="AE90" i="1" s="1"/>
  <c r="AG90" i="1" s="1"/>
  <c r="AB90" i="1" s="1"/>
  <c r="BB376" i="1"/>
  <c r="BC321" i="1"/>
  <c r="BB304" i="1"/>
  <c r="BB363" i="1"/>
  <c r="X26" i="1"/>
  <c r="BD26" i="1" s="1"/>
  <c r="X287" i="1"/>
  <c r="BD287" i="1" s="1"/>
  <c r="AD158" i="1"/>
  <c r="AF158" i="1" s="1"/>
  <c r="BC298" i="1"/>
  <c r="BC208" i="1"/>
  <c r="BB90" i="1"/>
  <c r="AC53" i="1"/>
  <c r="AE53" i="1" s="1"/>
  <c r="AG53" i="1" s="1"/>
  <c r="AB53" i="1" s="1"/>
  <c r="AC376" i="1"/>
  <c r="AE376" i="1" s="1"/>
  <c r="BB244" i="1"/>
  <c r="AD287" i="1"/>
  <c r="AF287" i="1" s="1"/>
  <c r="AG287" i="1" s="1"/>
  <c r="AB287" i="1" s="1"/>
  <c r="AD321" i="1"/>
  <c r="AF321" i="1" s="1"/>
  <c r="BC368" i="1"/>
  <c r="AC304" i="1"/>
  <c r="AE304" i="1" s="1"/>
  <c r="BB232" i="1"/>
  <c r="BB254" i="1"/>
  <c r="AC43" i="1"/>
  <c r="AE43" i="1" s="1"/>
  <c r="AG43" i="1" s="1"/>
  <c r="AB43" i="1" s="1"/>
  <c r="AC327" i="1"/>
  <c r="AE327" i="1" s="1"/>
  <c r="AG327" i="1" s="1"/>
  <c r="AB327" i="1" s="1"/>
  <c r="X236" i="1"/>
  <c r="BD236" i="1" s="1"/>
  <c r="X158" i="1"/>
  <c r="BD158" i="1" s="1"/>
  <c r="AC378" i="1"/>
  <c r="AE378" i="1" s="1"/>
  <c r="AC34" i="1"/>
  <c r="AE34" i="1" s="1"/>
  <c r="AG34" i="1" s="1"/>
  <c r="AB34" i="1" s="1"/>
  <c r="BB297" i="1"/>
  <c r="X252" i="1"/>
  <c r="BD252" i="1" s="1"/>
  <c r="AD339" i="1"/>
  <c r="AF339" i="1" s="1"/>
  <c r="X268" i="1"/>
  <c r="BD268" i="1" s="1"/>
  <c r="BC178" i="1"/>
  <c r="AC118" i="1"/>
  <c r="AE118" i="1" s="1"/>
  <c r="X193" i="1"/>
  <c r="BD193" i="1" s="1"/>
  <c r="X124" i="1"/>
  <c r="BD124" i="1" s="1"/>
  <c r="BB160" i="1"/>
  <c r="BB105" i="1"/>
  <c r="AD378" i="1"/>
  <c r="AF378" i="1" s="1"/>
  <c r="AC268" i="1"/>
  <c r="AE268" i="1" s="1"/>
  <c r="AG268" i="1" s="1"/>
  <c r="AB268" i="1" s="1"/>
  <c r="X85" i="1"/>
  <c r="BD85" i="1" s="1"/>
  <c r="BB116" i="1"/>
  <c r="X325" i="1"/>
  <c r="BD325" i="1" s="1"/>
  <c r="AC177" i="1"/>
  <c r="AE177" i="1" s="1"/>
  <c r="BB118" i="1"/>
  <c r="BB372" i="1"/>
  <c r="X213" i="1"/>
  <c r="BD213" i="1" s="1"/>
  <c r="AD44" i="1"/>
  <c r="AF44" i="1" s="1"/>
  <c r="AC145" i="1"/>
  <c r="AE145" i="1" s="1"/>
  <c r="BC57" i="1"/>
  <c r="BB365" i="1"/>
  <c r="AC192" i="1"/>
  <c r="AE192" i="1" s="1"/>
  <c r="AG192" i="1" s="1"/>
  <c r="AB192" i="1" s="1"/>
  <c r="BC329" i="1"/>
  <c r="BB389" i="1"/>
  <c r="AD57" i="1"/>
  <c r="AF57" i="1" s="1"/>
  <c r="X105" i="1"/>
  <c r="BD105" i="1" s="1"/>
  <c r="BB215" i="1"/>
  <c r="AD178" i="1"/>
  <c r="AF178" i="1" s="1"/>
  <c r="AG178" i="1" s="1"/>
  <c r="AB178" i="1" s="1"/>
  <c r="AC101" i="1"/>
  <c r="AE101" i="1" s="1"/>
  <c r="X330" i="1"/>
  <c r="BD330" i="1" s="1"/>
  <c r="AD346" i="1"/>
  <c r="AF346" i="1" s="1"/>
  <c r="AC55" i="1"/>
  <c r="AE55" i="1" s="1"/>
  <c r="AG55" i="1" s="1"/>
  <c r="AB55" i="1" s="1"/>
  <c r="X276" i="1"/>
  <c r="BD276" i="1" s="1"/>
  <c r="AD276" i="1"/>
  <c r="AF276" i="1" s="1"/>
  <c r="BC340" i="1"/>
  <c r="X69" i="1"/>
  <c r="BD69" i="1" s="1"/>
  <c r="AD288" i="1"/>
  <c r="AF288" i="1" s="1"/>
  <c r="BC339" i="1"/>
  <c r="AD65" i="1"/>
  <c r="AF65" i="1" s="1"/>
  <c r="AD83" i="1"/>
  <c r="AF83" i="1" s="1"/>
  <c r="BB190" i="1"/>
  <c r="BB315" i="1"/>
  <c r="BC347" i="1"/>
  <c r="X351" i="1"/>
  <c r="BD351" i="1" s="1"/>
  <c r="X174" i="1"/>
  <c r="BD174" i="1" s="1"/>
  <c r="BC378" i="1"/>
  <c r="BC59" i="1"/>
  <c r="BC83" i="1"/>
  <c r="BB268" i="1"/>
  <c r="X190" i="1"/>
  <c r="BD190" i="1" s="1"/>
  <c r="AD141" i="1"/>
  <c r="AF141" i="1" s="1"/>
  <c r="BB101" i="1"/>
  <c r="BB260" i="1"/>
  <c r="X30" i="1"/>
  <c r="BD30" i="1" s="1"/>
  <c r="BB224" i="1"/>
  <c r="AD164" i="1"/>
  <c r="AF164" i="1" s="1"/>
  <c r="AG164" i="1" s="1"/>
  <c r="AB164" i="1" s="1"/>
  <c r="X95" i="1"/>
  <c r="BD95" i="1" s="1"/>
  <c r="BB324" i="1"/>
  <c r="AD126" i="1"/>
  <c r="AF126" i="1" s="1"/>
  <c r="AC311" i="1"/>
  <c r="AE311" i="1" s="1"/>
  <c r="AG311" i="1" s="1"/>
  <c r="AB311" i="1" s="1"/>
  <c r="X165" i="1"/>
  <c r="BD165" i="1" s="1"/>
  <c r="AC346" i="1"/>
  <c r="AE346" i="1" s="1"/>
  <c r="BC331" i="1"/>
  <c r="BC180" i="1"/>
  <c r="BC97" i="1"/>
  <c r="X214" i="1"/>
  <c r="BD214" i="1" s="1"/>
  <c r="BB99" i="1"/>
  <c r="X56" i="1"/>
  <c r="BD56" i="1" s="1"/>
  <c r="X310" i="1"/>
  <c r="BD310" i="1" s="1"/>
  <c r="AC361" i="1"/>
  <c r="AE361" i="1" s="1"/>
  <c r="BC153" i="1"/>
  <c r="BB231" i="1"/>
  <c r="BB253" i="1"/>
  <c r="AD139" i="1"/>
  <c r="AF139" i="1" s="1"/>
  <c r="X101" i="1"/>
  <c r="BD101" i="1" s="1"/>
  <c r="X40" i="1"/>
  <c r="BD40" i="1" s="1"/>
  <c r="AC216" i="1"/>
  <c r="AE216" i="1" s="1"/>
  <c r="X67" i="1"/>
  <c r="BD67" i="1" s="1"/>
  <c r="BC278" i="1"/>
  <c r="BC162" i="1"/>
  <c r="BB218" i="1"/>
  <c r="AD248" i="1"/>
  <c r="AF248" i="1" s="1"/>
  <c r="BC291" i="1"/>
  <c r="X61" i="1"/>
  <c r="BD61" i="1" s="1"/>
  <c r="BC242" i="1"/>
  <c r="BC52" i="1"/>
  <c r="BC383" i="1"/>
  <c r="X320" i="1"/>
  <c r="BD320" i="1" s="1"/>
  <c r="BC149" i="1"/>
  <c r="X354" i="1"/>
  <c r="BD354" i="1" s="1"/>
  <c r="AC273" i="1"/>
  <c r="AE273" i="1" s="1"/>
  <c r="AG273" i="1" s="1"/>
  <c r="AB273" i="1" s="1"/>
  <c r="X294" i="1"/>
  <c r="BD294" i="1" s="1"/>
  <c r="AC117" i="1"/>
  <c r="AE117" i="1" s="1"/>
  <c r="AG117" i="1" s="1"/>
  <c r="AB117" i="1" s="1"/>
  <c r="X314" i="1"/>
  <c r="BD314" i="1" s="1"/>
  <c r="X262" i="1"/>
  <c r="BD262" i="1" s="1"/>
  <c r="BC353" i="1"/>
  <c r="X272" i="1"/>
  <c r="BD272" i="1" s="1"/>
  <c r="X195" i="1"/>
  <c r="BD195" i="1" s="1"/>
  <c r="AC38" i="1"/>
  <c r="AE38" i="1" s="1"/>
  <c r="BC311" i="1"/>
  <c r="AC353" i="1"/>
  <c r="AE353" i="1" s="1"/>
  <c r="X277" i="1"/>
  <c r="BD277" i="1" s="1"/>
  <c r="AC115" i="1"/>
  <c r="AE115" i="1" s="1"/>
  <c r="AG115" i="1" s="1"/>
  <c r="AB115" i="1" s="1"/>
  <c r="AD216" i="1"/>
  <c r="AF216" i="1" s="1"/>
  <c r="AC375" i="1"/>
  <c r="AE375" i="1" s="1"/>
  <c r="AD67" i="1"/>
  <c r="AF67" i="1" s="1"/>
  <c r="AD114" i="1"/>
  <c r="AF114" i="1" s="1"/>
  <c r="AG114" i="1" s="1"/>
  <c r="AB114" i="1" s="1"/>
  <c r="AD196" i="1"/>
  <c r="AF196" i="1" s="1"/>
  <c r="AG196" i="1" s="1"/>
  <c r="AB196" i="1" s="1"/>
  <c r="AD263" i="1"/>
  <c r="AF263" i="1" s="1"/>
  <c r="AG263" i="1" s="1"/>
  <c r="AB263" i="1" s="1"/>
  <c r="X348" i="1"/>
  <c r="BD348" i="1" s="1"/>
  <c r="AC317" i="1"/>
  <c r="AE317" i="1" s="1"/>
  <c r="BC102" i="1"/>
  <c r="AD299" i="1"/>
  <c r="AF299" i="1" s="1"/>
  <c r="BB127" i="1"/>
  <c r="AD236" i="1"/>
  <c r="AF236" i="1" s="1"/>
  <c r="AG236" i="1" s="1"/>
  <c r="AB236" i="1" s="1"/>
  <c r="X251" i="1"/>
  <c r="BD251" i="1" s="1"/>
  <c r="X356" i="1"/>
  <c r="BD356" i="1" s="1"/>
  <c r="X130" i="1"/>
  <c r="BD130" i="1" s="1"/>
  <c r="BC247" i="1"/>
  <c r="AC274" i="1"/>
  <c r="AE274" i="1" s="1"/>
  <c r="AC209" i="1"/>
  <c r="AE209" i="1" s="1"/>
  <c r="X355" i="1"/>
  <c r="BD355" i="1" s="1"/>
  <c r="BC39" i="1"/>
  <c r="AC153" i="1"/>
  <c r="AE153" i="1" s="1"/>
  <c r="AG153" i="1" s="1"/>
  <c r="AB153" i="1" s="1"/>
  <c r="AD380" i="1"/>
  <c r="AF380" i="1" s="1"/>
  <c r="AC198" i="1"/>
  <c r="AE198" i="1" s="1"/>
  <c r="AG198" i="1" s="1"/>
  <c r="AB198" i="1" s="1"/>
  <c r="BC274" i="1"/>
  <c r="X279" i="1"/>
  <c r="BD279" i="1" s="1"/>
  <c r="AC257" i="1"/>
  <c r="AE257" i="1" s="1"/>
  <c r="BC251" i="1"/>
  <c r="AD354" i="1"/>
  <c r="AF354" i="1" s="1"/>
  <c r="AD241" i="1"/>
  <c r="AF241" i="1" s="1"/>
  <c r="AG241" i="1" s="1"/>
  <c r="AB241" i="1" s="1"/>
  <c r="AD195" i="1"/>
  <c r="AF195" i="1" s="1"/>
  <c r="AC50" i="1"/>
  <c r="AE50" i="1" s="1"/>
  <c r="AG50" i="1" s="1"/>
  <c r="AB50" i="1" s="1"/>
  <c r="BC328" i="1"/>
  <c r="AD375" i="1"/>
  <c r="AF375" i="1" s="1"/>
  <c r="AC48" i="1"/>
  <c r="AE48" i="1" s="1"/>
  <c r="AC36" i="1"/>
  <c r="AE36" i="1" s="1"/>
  <c r="AG36" i="1" s="1"/>
  <c r="AB36" i="1" s="1"/>
  <c r="AC322" i="1"/>
  <c r="AE322" i="1" s="1"/>
  <c r="AG322" i="1" s="1"/>
  <c r="AB322" i="1" s="1"/>
  <c r="AC183" i="1"/>
  <c r="AE183" i="1" s="1"/>
  <c r="AG183" i="1" s="1"/>
  <c r="AB183" i="1" s="1"/>
  <c r="X140" i="1"/>
  <c r="BD140" i="1" s="1"/>
  <c r="AC71" i="1"/>
  <c r="AE71" i="1" s="1"/>
  <c r="AC186" i="1"/>
  <c r="AE186" i="1" s="1"/>
  <c r="AG186" i="1" s="1"/>
  <c r="AB186" i="1" s="1"/>
  <c r="AD99" i="1"/>
  <c r="AF99" i="1" s="1"/>
  <c r="AG99" i="1" s="1"/>
  <c r="AB99" i="1" s="1"/>
  <c r="X156" i="1"/>
  <c r="BD156" i="1" s="1"/>
  <c r="BC70" i="1"/>
  <c r="X161" i="1"/>
  <c r="BD161" i="1" s="1"/>
  <c r="AD48" i="1"/>
  <c r="AF48" i="1" s="1"/>
  <c r="AD283" i="1"/>
  <c r="AF283" i="1" s="1"/>
  <c r="BC156" i="1"/>
  <c r="BC132" i="1"/>
  <c r="X91" i="1"/>
  <c r="BD91" i="1" s="1"/>
  <c r="BB122" i="1"/>
  <c r="BC370" i="1"/>
  <c r="AD138" i="1"/>
  <c r="AF138" i="1" s="1"/>
  <c r="AC230" i="1"/>
  <c r="AE230" i="1" s="1"/>
  <c r="AG230" i="1" s="1"/>
  <c r="AB230" i="1" s="1"/>
  <c r="AD86" i="1"/>
  <c r="AF86" i="1" s="1"/>
  <c r="AG86" i="1" s="1"/>
  <c r="AB86" i="1" s="1"/>
  <c r="BC356" i="1"/>
  <c r="BB374" i="1"/>
  <c r="BB80" i="1"/>
  <c r="BC106" i="1"/>
  <c r="X301" i="1"/>
  <c r="BD301" i="1" s="1"/>
  <c r="AD62" i="1"/>
  <c r="AF62" i="1" s="1"/>
  <c r="AD176" i="1"/>
  <c r="AF176" i="1" s="1"/>
  <c r="AG176" i="1" s="1"/>
  <c r="AB176" i="1" s="1"/>
  <c r="BC372" i="1"/>
  <c r="AD277" i="1"/>
  <c r="AF277" i="1" s="1"/>
  <c r="AG277" i="1" s="1"/>
  <c r="AB277" i="1" s="1"/>
  <c r="X360" i="1"/>
  <c r="BD360" i="1" s="1"/>
  <c r="AC191" i="1"/>
  <c r="AE191" i="1" s="1"/>
  <c r="AD258" i="1"/>
  <c r="AF258" i="1" s="1"/>
  <c r="BC46" i="1"/>
  <c r="AD262" i="1"/>
  <c r="AF262" i="1" s="1"/>
  <c r="X135" i="1"/>
  <c r="BD135" i="1" s="1"/>
  <c r="AC305" i="1"/>
  <c r="AE305" i="1" s="1"/>
  <c r="BC42" i="1"/>
  <c r="AC113" i="1"/>
  <c r="AE113" i="1" s="1"/>
  <c r="BC307" i="1"/>
  <c r="AD61" i="1"/>
  <c r="AF61" i="1" s="1"/>
  <c r="AD285" i="1"/>
  <c r="AF285" i="1" s="1"/>
  <c r="AG285" i="1" s="1"/>
  <c r="AB285" i="1" s="1"/>
  <c r="BC148" i="1"/>
  <c r="AD257" i="1"/>
  <c r="AF257" i="1" s="1"/>
  <c r="BB219" i="1"/>
  <c r="BC163" i="1"/>
  <c r="AC126" i="1"/>
  <c r="AE126" i="1" s="1"/>
  <c r="AG126" i="1" s="1"/>
  <c r="AB126" i="1" s="1"/>
  <c r="AD364" i="1"/>
  <c r="AF364" i="1" s="1"/>
  <c r="AD12" i="1"/>
  <c r="AD59" i="1"/>
  <c r="AF59" i="1" s="1"/>
  <c r="BC155" i="1"/>
  <c r="X220" i="1"/>
  <c r="BD220" i="1" s="1"/>
  <c r="BB390" i="1"/>
  <c r="BC108" i="1"/>
  <c r="AC205" i="1"/>
  <c r="AE205" i="1" s="1"/>
  <c r="AC215" i="1"/>
  <c r="AE215" i="1" s="1"/>
  <c r="AG215" i="1" s="1"/>
  <c r="AB215" i="1" s="1"/>
  <c r="BC333" i="1"/>
  <c r="BC110" i="1"/>
  <c r="AC212" i="1"/>
  <c r="AE212" i="1" s="1"/>
  <c r="AG212" i="1" s="1"/>
  <c r="AB212" i="1" s="1"/>
  <c r="AC329" i="1"/>
  <c r="AE329" i="1" s="1"/>
  <c r="X76" i="1"/>
  <c r="BD76" i="1" s="1"/>
  <c r="BB59" i="1"/>
  <c r="BC49" i="1"/>
  <c r="BC289" i="1"/>
  <c r="AC332" i="1"/>
  <c r="AE332" i="1" s="1"/>
  <c r="AG332" i="1" s="1"/>
  <c r="AB332" i="1" s="1"/>
  <c r="BC273" i="1"/>
  <c r="BC312" i="1"/>
  <c r="BC184" i="1"/>
  <c r="BC40" i="1"/>
  <c r="X98" i="1"/>
  <c r="BD98" i="1" s="1"/>
  <c r="AC188" i="1"/>
  <c r="AE188" i="1" s="1"/>
  <c r="AG188" i="1" s="1"/>
  <c r="AB188" i="1" s="1"/>
  <c r="AC281" i="1"/>
  <c r="AE281" i="1" s="1"/>
  <c r="AG281" i="1" s="1"/>
  <c r="AB281" i="1" s="1"/>
  <c r="BC152" i="1"/>
  <c r="AC358" i="1"/>
  <c r="AE358" i="1" s="1"/>
  <c r="BC133" i="1"/>
  <c r="AC25" i="1"/>
  <c r="AE25" i="1" s="1"/>
  <c r="AG25" i="1" s="1"/>
  <c r="AB25" i="1" s="1"/>
  <c r="AC151" i="1"/>
  <c r="AE151" i="1" s="1"/>
  <c r="AG151" i="1" s="1"/>
  <c r="AB151" i="1" s="1"/>
  <c r="AC233" i="1"/>
  <c r="AE233" i="1" s="1"/>
  <c r="AC32" i="1"/>
  <c r="AE32" i="1" s="1"/>
  <c r="BC334" i="1"/>
  <c r="BC201" i="1"/>
  <c r="BC228" i="1"/>
  <c r="BC123" i="1"/>
  <c r="AC44" i="1"/>
  <c r="AE44" i="1" s="1"/>
  <c r="AC70" i="1"/>
  <c r="AE70" i="1" s="1"/>
  <c r="AG70" i="1" s="1"/>
  <c r="AB70" i="1" s="1"/>
  <c r="BC392" i="1"/>
  <c r="BC98" i="1"/>
  <c r="BC76" i="1"/>
  <c r="BC19" i="1"/>
  <c r="BC186" i="1"/>
  <c r="BC384" i="1"/>
  <c r="AC330" i="1"/>
  <c r="AE330" i="1" s="1"/>
  <c r="AG330" i="1" s="1"/>
  <c r="AB330" i="1" s="1"/>
  <c r="BC192" i="1"/>
  <c r="AC123" i="1"/>
  <c r="AE123" i="1" s="1"/>
  <c r="AG123" i="1" s="1"/>
  <c r="AB123" i="1" s="1"/>
  <c r="BC20" i="1"/>
  <c r="AC57" i="1"/>
  <c r="AE57" i="1" s="1"/>
  <c r="AG57" i="1" s="1"/>
  <c r="AB57" i="1" s="1"/>
  <c r="BC282" i="1"/>
  <c r="AD17" i="1"/>
  <c r="BB148" i="1"/>
  <c r="AC390" i="1"/>
  <c r="AE390" i="1" s="1"/>
  <c r="AG390" i="1" s="1"/>
  <c r="AB390" i="1" s="1"/>
  <c r="BB212" i="1"/>
  <c r="BB20" i="1"/>
  <c r="AC13" i="1"/>
  <c r="AD14" i="1"/>
  <c r="X232" i="1"/>
  <c r="BD232" i="1" s="1"/>
  <c r="BC330" i="1"/>
  <c r="AC139" i="1"/>
  <c r="AE139" i="1" s="1"/>
  <c r="X83" i="1"/>
  <c r="BD83" i="1" s="1"/>
  <c r="X57" i="1"/>
  <c r="BD57" i="1" s="1"/>
  <c r="AC246" i="1"/>
  <c r="AE246" i="1" s="1"/>
  <c r="AC148" i="1"/>
  <c r="AE148" i="1" s="1"/>
  <c r="AG148" i="1" s="1"/>
  <c r="AB148" i="1" s="1"/>
  <c r="X390" i="1"/>
  <c r="BD390" i="1" s="1"/>
  <c r="AD232" i="1"/>
  <c r="AF232" i="1" s="1"/>
  <c r="AG232" i="1" s="1"/>
  <c r="AB232" i="1" s="1"/>
  <c r="X212" i="1"/>
  <c r="BD212" i="1" s="1"/>
  <c r="X20" i="1"/>
  <c r="BD20" i="1" s="1"/>
  <c r="AC98" i="1"/>
  <c r="AE98" i="1" s="1"/>
  <c r="AG98" i="1" s="1"/>
  <c r="AB98" i="1" s="1"/>
  <c r="AD312" i="1"/>
  <c r="AF312" i="1" s="1"/>
  <c r="X389" i="1"/>
  <c r="BD389" i="1" s="1"/>
  <c r="BC244" i="1"/>
  <c r="BB263" i="1"/>
  <c r="BB325" i="1"/>
  <c r="BC41" i="1"/>
  <c r="AC125" i="1"/>
  <c r="AE125" i="1" s="1"/>
  <c r="BB39" i="1"/>
  <c r="BC194" i="1"/>
  <c r="BC124" i="1"/>
  <c r="BC193" i="1"/>
  <c r="BC25" i="1"/>
  <c r="BC94" i="1"/>
  <c r="BB34" i="1"/>
  <c r="BB152" i="1"/>
  <c r="AC137" i="1"/>
  <c r="AE137" i="1" s="1"/>
  <c r="AG137" i="1" s="1"/>
  <c r="AB137" i="1" s="1"/>
  <c r="AC62" i="1"/>
  <c r="AE62" i="1" s="1"/>
  <c r="BB229" i="1"/>
  <c r="AD256" i="1"/>
  <c r="AF256" i="1" s="1"/>
  <c r="AD143" i="1"/>
  <c r="AF143" i="1" s="1"/>
  <c r="AG143" i="1" s="1"/>
  <c r="AB143" i="1" s="1"/>
  <c r="AD190" i="1"/>
  <c r="AF190" i="1" s="1"/>
  <c r="AG190" i="1" s="1"/>
  <c r="AB190" i="1" s="1"/>
  <c r="AC308" i="1"/>
  <c r="AE308" i="1" s="1"/>
  <c r="AC162" i="1"/>
  <c r="AE162" i="1" s="1"/>
  <c r="AC283" i="1"/>
  <c r="AE283" i="1" s="1"/>
  <c r="X121" i="1"/>
  <c r="BD121" i="1" s="1"/>
  <c r="AC290" i="1"/>
  <c r="AE290" i="1" s="1"/>
  <c r="BB85" i="1"/>
  <c r="AC96" i="1"/>
  <c r="AE96" i="1" s="1"/>
  <c r="AG96" i="1" s="1"/>
  <c r="AB96" i="1" s="1"/>
  <c r="X24" i="1"/>
  <c r="BD24" i="1" s="1"/>
  <c r="AD246" i="1"/>
  <c r="AF246" i="1" s="1"/>
  <c r="AC371" i="1"/>
  <c r="AE371" i="1" s="1"/>
  <c r="AG371" i="1" s="1"/>
  <c r="AB371" i="1" s="1"/>
  <c r="BC75" i="1"/>
  <c r="BC167" i="1"/>
  <c r="AD300" i="1"/>
  <c r="AF300" i="1" s="1"/>
  <c r="AD71" i="1"/>
  <c r="AF71" i="1" s="1"/>
  <c r="AC363" i="1"/>
  <c r="AE363" i="1" s="1"/>
  <c r="AC106" i="1"/>
  <c r="AE106" i="1" s="1"/>
  <c r="BB334" i="1"/>
  <c r="BC266" i="1"/>
  <c r="BC47" i="1"/>
  <c r="BB340" i="1"/>
  <c r="BB179" i="1"/>
  <c r="AD343" i="1"/>
  <c r="AF343" i="1" s="1"/>
  <c r="AC171" i="1"/>
  <c r="AE171" i="1" s="1"/>
  <c r="AG171" i="1" s="1"/>
  <c r="AB171" i="1" s="1"/>
  <c r="BC154" i="1"/>
  <c r="AC37" i="1"/>
  <c r="AE37" i="1" s="1"/>
  <c r="AG37" i="1" s="1"/>
  <c r="AB37" i="1" s="1"/>
  <c r="X211" i="1"/>
  <c r="BD211" i="1" s="1"/>
  <c r="BC322" i="1"/>
  <c r="BC254" i="1"/>
  <c r="AC132" i="1"/>
  <c r="AE132" i="1" s="1"/>
  <c r="BC100" i="1"/>
  <c r="AC296" i="1"/>
  <c r="AE296" i="1" s="1"/>
  <c r="AG296" i="1" s="1"/>
  <c r="AB296" i="1" s="1"/>
  <c r="AC265" i="1"/>
  <c r="AE265" i="1" s="1"/>
  <c r="BC271" i="1"/>
  <c r="AC312" i="1"/>
  <c r="AE312" i="1" s="1"/>
  <c r="AC100" i="1"/>
  <c r="AE100" i="1" s="1"/>
  <c r="AG100" i="1" s="1"/>
  <c r="AB100" i="1" s="1"/>
  <c r="BC54" i="1"/>
  <c r="AD128" i="1"/>
  <c r="AF128" i="1" s="1"/>
  <c r="BC206" i="1"/>
  <c r="AC128" i="1"/>
  <c r="AE128" i="1" s="1"/>
  <c r="AC199" i="1"/>
  <c r="AE199" i="1" s="1"/>
  <c r="AG199" i="1" s="1"/>
  <c r="AB199" i="1" s="1"/>
  <c r="AC17" i="1"/>
  <c r="AE17" i="1" s="1"/>
  <c r="BC29" i="1"/>
  <c r="BC229" i="1"/>
  <c r="BC319" i="1"/>
  <c r="AC154" i="1"/>
  <c r="AE154" i="1" s="1"/>
  <c r="AG154" i="1" s="1"/>
  <c r="AB154" i="1" s="1"/>
  <c r="AC359" i="1"/>
  <c r="AE359" i="1" s="1"/>
  <c r="AG359" i="1" s="1"/>
  <c r="AB359" i="1" s="1"/>
  <c r="BC60" i="1"/>
  <c r="BC255" i="1"/>
  <c r="X249" i="1"/>
  <c r="BD249" i="1" s="1"/>
  <c r="BC222" i="1"/>
  <c r="BC127" i="1"/>
  <c r="BC253" i="1"/>
  <c r="AC166" i="1"/>
  <c r="AE166" i="1" s="1"/>
  <c r="AG166" i="1" s="1"/>
  <c r="AB166" i="1" s="1"/>
  <c r="BC390" i="1"/>
  <c r="AC83" i="1"/>
  <c r="AE83" i="1" s="1"/>
  <c r="AC250" i="1"/>
  <c r="AE250" i="1" s="1"/>
  <c r="AG250" i="1" s="1"/>
  <c r="AB250" i="1" s="1"/>
  <c r="AD259" i="1"/>
  <c r="AF259" i="1" s="1"/>
  <c r="AG259" i="1" s="1"/>
  <c r="AB259" i="1" s="1"/>
  <c r="AC26" i="1"/>
  <c r="AE26" i="1" s="1"/>
  <c r="BC53" i="1"/>
  <c r="BB259" i="1"/>
  <c r="AD197" i="1"/>
  <c r="AF197" i="1" s="1"/>
  <c r="BC225" i="1"/>
  <c r="BC284" i="1"/>
  <c r="BC115" i="1"/>
  <c r="AC227" i="1"/>
  <c r="AE227" i="1" s="1"/>
  <c r="AG227" i="1" s="1"/>
  <c r="AB227" i="1" s="1"/>
  <c r="AC291" i="1"/>
  <c r="AE291" i="1" s="1"/>
  <c r="AC344" i="1"/>
  <c r="AE344" i="1" s="1"/>
  <c r="AC382" i="1"/>
  <c r="AE382" i="1" s="1"/>
  <c r="AG382" i="1" s="1"/>
  <c r="AB382" i="1" s="1"/>
  <c r="BC179" i="1"/>
  <c r="AC14" i="1"/>
  <c r="BC232" i="1"/>
  <c r="BC252" i="1"/>
  <c r="AC59" i="1"/>
  <c r="AE59" i="1" s="1"/>
  <c r="AC15" i="1"/>
  <c r="AD108" i="1"/>
  <c r="AF108" i="1" s="1"/>
  <c r="BC65" i="1"/>
  <c r="AD252" i="1"/>
  <c r="AF252" i="1" s="1"/>
  <c r="AD289" i="1"/>
  <c r="AF289" i="1" s="1"/>
  <c r="AG289" i="1" s="1"/>
  <c r="AB289" i="1" s="1"/>
  <c r="AD376" i="1"/>
  <c r="AF376" i="1" s="1"/>
  <c r="X160" i="1"/>
  <c r="BD160" i="1" s="1"/>
  <c r="AC92" i="1"/>
  <c r="AE92" i="1" s="1"/>
  <c r="BC34" i="1"/>
  <c r="X192" i="1"/>
  <c r="BD192" i="1" s="1"/>
  <c r="BB202" i="1"/>
  <c r="BC45" i="1"/>
  <c r="AD172" i="1"/>
  <c r="AF172" i="1" s="1"/>
  <c r="BC79" i="1"/>
  <c r="BC377" i="1"/>
  <c r="BC218" i="1"/>
  <c r="BC213" i="1"/>
  <c r="BB89" i="1"/>
  <c r="BC189" i="1"/>
  <c r="AC150" i="1"/>
  <c r="AE150" i="1" s="1"/>
  <c r="AC336" i="1"/>
  <c r="AE336" i="1" s="1"/>
  <c r="AC141" i="1"/>
  <c r="AE141" i="1" s="1"/>
  <c r="BB51" i="1"/>
  <c r="BC389" i="1"/>
  <c r="BB307" i="1"/>
  <c r="AC200" i="1"/>
  <c r="AE200" i="1" s="1"/>
  <c r="AG200" i="1" s="1"/>
  <c r="AB200" i="1" s="1"/>
  <c r="BC269" i="1"/>
  <c r="AC149" i="1"/>
  <c r="AE149" i="1" s="1"/>
  <c r="AC73" i="1"/>
  <c r="AE73" i="1" s="1"/>
  <c r="X210" i="1"/>
  <c r="BD210" i="1" s="1"/>
  <c r="BB203" i="1"/>
  <c r="BC64" i="1"/>
  <c r="AD32" i="1"/>
  <c r="AF32" i="1" s="1"/>
  <c r="AD144" i="1"/>
  <c r="AF144" i="1" s="1"/>
  <c r="BB35" i="1"/>
  <c r="AD78" i="1"/>
  <c r="AF78" i="1" s="1"/>
  <c r="AC116" i="1"/>
  <c r="AE116" i="1" s="1"/>
  <c r="AG116" i="1" s="1"/>
  <c r="AB116" i="1" s="1"/>
  <c r="AD85" i="1"/>
  <c r="AF85" i="1" s="1"/>
  <c r="AC193" i="1"/>
  <c r="AE193" i="1" s="1"/>
  <c r="AC134" i="1"/>
  <c r="AE134" i="1" s="1"/>
  <c r="AG134" i="1" s="1"/>
  <c r="AB134" i="1" s="1"/>
  <c r="BB114" i="1"/>
  <c r="BC28" i="1"/>
  <c r="BC350" i="1"/>
  <c r="AC326" i="1"/>
  <c r="AE326" i="1" s="1"/>
  <c r="AC131" i="1"/>
  <c r="AE131" i="1" s="1"/>
  <c r="AG131" i="1" s="1"/>
  <c r="AB131" i="1" s="1"/>
  <c r="X313" i="1"/>
  <c r="BD313" i="1" s="1"/>
  <c r="BC185" i="1"/>
  <c r="BC227" i="1"/>
  <c r="AC29" i="1"/>
  <c r="AE29" i="1" s="1"/>
  <c r="AG29" i="1" s="1"/>
  <c r="AB29" i="1" s="1"/>
  <c r="BC181" i="1"/>
  <c r="AD317" i="1"/>
  <c r="AF317" i="1" s="1"/>
  <c r="BC214" i="1"/>
  <c r="BC74" i="1"/>
  <c r="AC252" i="1"/>
  <c r="AE252" i="1" s="1"/>
  <c r="AC31" i="1"/>
  <c r="AE31" i="1" s="1"/>
  <c r="AC349" i="1"/>
  <c r="AE349" i="1" s="1"/>
  <c r="AC245" i="1"/>
  <c r="AE245" i="1" s="1"/>
  <c r="AG245" i="1" s="1"/>
  <c r="AB245" i="1" s="1"/>
  <c r="BC24" i="1"/>
  <c r="BC315" i="1"/>
  <c r="AD363" i="1"/>
  <c r="AF363" i="1" s="1"/>
  <c r="AC392" i="1"/>
  <c r="AE392" i="1" s="1"/>
  <c r="AG392" i="1" s="1"/>
  <c r="AB392" i="1" s="1"/>
  <c r="BC51" i="1"/>
  <c r="AC201" i="1"/>
  <c r="AE201" i="1" s="1"/>
  <c r="AG201" i="1" s="1"/>
  <c r="AB201" i="1" s="1"/>
  <c r="AC28" i="1"/>
  <c r="AE28" i="1" s="1"/>
  <c r="AG28" i="1" s="1"/>
  <c r="AB28" i="1" s="1"/>
  <c r="AC19" i="1"/>
  <c r="AE19" i="1" s="1"/>
  <c r="AG19" i="1" s="1"/>
  <c r="AB19" i="1" s="1"/>
  <c r="AD13" i="1"/>
  <c r="AF13" i="1" s="1"/>
  <c r="AD18" i="1"/>
  <c r="AF18" i="1" s="1"/>
  <c r="X49" i="1"/>
  <c r="BD49" i="1" s="1"/>
  <c r="X170" i="1"/>
  <c r="BD170" i="1" s="1"/>
  <c r="X229" i="1"/>
  <c r="BD229" i="1" s="1"/>
  <c r="X189" i="1"/>
  <c r="BD189" i="1" s="1"/>
  <c r="X78" i="1"/>
  <c r="BD78" i="1" s="1"/>
  <c r="AD64" i="1"/>
  <c r="AF64" i="1" s="1"/>
  <c r="AG64" i="1" s="1"/>
  <c r="AB64" i="1" s="1"/>
  <c r="AC51" i="1"/>
  <c r="AE51" i="1" s="1"/>
  <c r="AG51" i="1" s="1"/>
  <c r="AB51" i="1" s="1"/>
  <c r="BC376" i="1"/>
  <c r="X150" i="1"/>
  <c r="BD150" i="1" s="1"/>
  <c r="BB336" i="1"/>
  <c r="AC307" i="1"/>
  <c r="AE307" i="1" s="1"/>
  <c r="BB134" i="1"/>
  <c r="X73" i="1"/>
  <c r="BD73" i="1" s="1"/>
  <c r="X89" i="1"/>
  <c r="BD89" i="1" s="1"/>
  <c r="X64" i="1"/>
  <c r="BD64" i="1" s="1"/>
  <c r="X71" i="1"/>
  <c r="BD71" i="1" s="1"/>
  <c r="AD167" i="1"/>
  <c r="AF167" i="1" s="1"/>
  <c r="X94" i="1"/>
  <c r="BD94" i="1" s="1"/>
  <c r="X271" i="1"/>
  <c r="BD271" i="1" s="1"/>
  <c r="AD193" i="1"/>
  <c r="AF193" i="1" s="1"/>
  <c r="AD97" i="1"/>
  <c r="AF97" i="1" s="1"/>
  <c r="X152" i="1"/>
  <c r="BD152" i="1" s="1"/>
  <c r="BB62" i="1"/>
  <c r="AC85" i="1"/>
  <c r="AE85" i="1" s="1"/>
  <c r="X194" i="1"/>
  <c r="BD194" i="1" s="1"/>
  <c r="X154" i="1"/>
  <c r="BD154" i="1" s="1"/>
  <c r="X382" i="1"/>
  <c r="BD382" i="1" s="1"/>
  <c r="AC325" i="1"/>
  <c r="AE325" i="1" s="1"/>
  <c r="X137" i="1"/>
  <c r="BD137" i="1" s="1"/>
  <c r="BC143" i="1"/>
  <c r="BB308" i="1"/>
  <c r="X96" i="1"/>
  <c r="BD96" i="1" s="1"/>
  <c r="BC71" i="1"/>
  <c r="AC39" i="1"/>
  <c r="AE39" i="1" s="1"/>
  <c r="AG39" i="1" s="1"/>
  <c r="AB39" i="1" s="1"/>
  <c r="BB371" i="1"/>
  <c r="X235" i="1"/>
  <c r="BD235" i="1" s="1"/>
  <c r="X60" i="1"/>
  <c r="BD60" i="1" s="1"/>
  <c r="X129" i="1"/>
  <c r="BD129" i="1" s="1"/>
  <c r="X54" i="1"/>
  <c r="BD54" i="1" s="1"/>
  <c r="X308" i="1"/>
  <c r="BD308" i="1" s="1"/>
  <c r="X300" i="1"/>
  <c r="BD300" i="1" s="1"/>
  <c r="X182" i="1"/>
  <c r="BD182" i="1" s="1"/>
  <c r="X260" i="1"/>
  <c r="BD260" i="1" s="1"/>
  <c r="X318" i="1"/>
  <c r="BD318" i="1" s="1"/>
  <c r="X225" i="1"/>
  <c r="BD225" i="1" s="1"/>
  <c r="X366" i="1"/>
  <c r="BD366" i="1" s="1"/>
  <c r="X142" i="1"/>
  <c r="BD142" i="1" s="1"/>
  <c r="X222" i="1"/>
  <c r="BD222" i="1" s="1"/>
  <c r="X197" i="1"/>
  <c r="BD197" i="1" s="1"/>
  <c r="BB346" i="1"/>
  <c r="X371" i="1"/>
  <c r="BD371" i="1" s="1"/>
  <c r="X202" i="1"/>
  <c r="BD202" i="1" s="1"/>
  <c r="X350" i="1"/>
  <c r="BD350" i="1" s="1"/>
  <c r="X104" i="1"/>
  <c r="BD104" i="1" s="1"/>
  <c r="X337" i="1"/>
  <c r="BD337" i="1" s="1"/>
  <c r="X203" i="1"/>
  <c r="BD203" i="1" s="1"/>
  <c r="X92" i="1"/>
  <c r="BD92" i="1" s="1"/>
  <c r="X111" i="1"/>
  <c r="BD111" i="1" s="1"/>
  <c r="X345" i="1"/>
  <c r="BD345" i="1" s="1"/>
  <c r="X47" i="1"/>
  <c r="BD47" i="1" s="1"/>
  <c r="X167" i="1"/>
  <c r="BD167" i="1" s="1"/>
  <c r="X368" i="1"/>
  <c r="BD368" i="1" s="1"/>
  <c r="X304" i="1"/>
  <c r="BD304" i="1" s="1"/>
  <c r="X81" i="1"/>
  <c r="BD81" i="1" s="1"/>
  <c r="X77" i="1"/>
  <c r="BD77" i="1" s="1"/>
  <c r="X125" i="1"/>
  <c r="BD125" i="1" s="1"/>
  <c r="X349" i="1"/>
  <c r="BD349" i="1" s="1"/>
  <c r="X207" i="1"/>
  <c r="BD207" i="1" s="1"/>
  <c r="X335" i="1"/>
  <c r="BD335" i="1" s="1"/>
  <c r="AG93" i="1"/>
  <c r="AB93" i="1" s="1"/>
  <c r="X377" i="1"/>
  <c r="BD377" i="1" s="1"/>
  <c r="BB150" i="1"/>
  <c r="X315" i="1"/>
  <c r="BD315" i="1" s="1"/>
  <c r="X177" i="1"/>
  <c r="BD177" i="1" s="1"/>
  <c r="X242" i="1"/>
  <c r="BD242" i="1" s="1"/>
  <c r="X102" i="1"/>
  <c r="BD102" i="1" s="1"/>
  <c r="X248" i="1"/>
  <c r="BD248" i="1" s="1"/>
  <c r="X256" i="1"/>
  <c r="BD256" i="1" s="1"/>
  <c r="X383" i="1"/>
  <c r="BD383" i="1" s="1"/>
  <c r="X223" i="1"/>
  <c r="BD223" i="1" s="1"/>
  <c r="X65" i="1"/>
  <c r="BD65" i="1" s="1"/>
  <c r="X264" i="1"/>
  <c r="BD264" i="1" s="1"/>
  <c r="X258" i="1"/>
  <c r="BD258" i="1" s="1"/>
  <c r="X206" i="1"/>
  <c r="BD206" i="1" s="1"/>
  <c r="X247" i="1"/>
  <c r="BD247" i="1" s="1"/>
  <c r="X269" i="1"/>
  <c r="BD269" i="1" s="1"/>
  <c r="X266" i="1"/>
  <c r="BD266" i="1" s="1"/>
  <c r="X341" i="1"/>
  <c r="BD341" i="1" s="1"/>
  <c r="X181" i="1"/>
  <c r="BD181" i="1" s="1"/>
  <c r="AD149" i="1"/>
  <c r="AF149" i="1" s="1"/>
  <c r="X196" i="1"/>
  <c r="BD196" i="1" s="1"/>
  <c r="X79" i="1"/>
  <c r="BD79" i="1" s="1"/>
  <c r="X331" i="1"/>
  <c r="BD331" i="1" s="1"/>
  <c r="BB277" i="1"/>
  <c r="X115" i="1"/>
  <c r="BD115" i="1" s="1"/>
  <c r="BB49" i="1"/>
  <c r="AD101" i="1"/>
  <c r="AF101" i="1" s="1"/>
  <c r="X283" i="1"/>
  <c r="BD283" i="1" s="1"/>
  <c r="X372" i="1"/>
  <c r="BD372" i="1" s="1"/>
  <c r="AC54" i="1"/>
  <c r="AE54" i="1" s="1"/>
  <c r="AG54" i="1" s="1"/>
  <c r="AB54" i="1" s="1"/>
  <c r="BB251" i="1"/>
  <c r="AC356" i="1"/>
  <c r="AE356" i="1" s="1"/>
  <c r="AD130" i="1"/>
  <c r="AF130" i="1" s="1"/>
  <c r="AG130" i="1" s="1"/>
  <c r="AB130" i="1" s="1"/>
  <c r="AD203" i="1"/>
  <c r="AF203" i="1" s="1"/>
  <c r="AG203" i="1" s="1"/>
  <c r="AB203" i="1" s="1"/>
  <c r="BB209" i="1"/>
  <c r="AC182" i="1"/>
  <c r="AE182" i="1" s="1"/>
  <c r="X138" i="1"/>
  <c r="BD138" i="1" s="1"/>
  <c r="AD274" i="1"/>
  <c r="AF274" i="1" s="1"/>
  <c r="BB279" i="1"/>
  <c r="X257" i="1"/>
  <c r="BD257" i="1" s="1"/>
  <c r="BB50" i="1"/>
  <c r="BC92" i="1"/>
  <c r="BB248" i="1"/>
  <c r="BB36" i="1"/>
  <c r="X183" i="1"/>
  <c r="BD183" i="1" s="1"/>
  <c r="AD345" i="1"/>
  <c r="AF345" i="1" s="1"/>
  <c r="AG345" i="1" s="1"/>
  <c r="AB345" i="1" s="1"/>
  <c r="BB117" i="1"/>
  <c r="X163" i="1"/>
  <c r="BD163" i="1" s="1"/>
  <c r="AD304" i="1"/>
  <c r="AF304" i="1" s="1"/>
  <c r="AD161" i="1"/>
  <c r="AF161" i="1" s="1"/>
  <c r="BB225" i="1"/>
  <c r="AD242" i="1"/>
  <c r="AF242" i="1" s="1"/>
  <c r="X374" i="1"/>
  <c r="BD374" i="1" s="1"/>
  <c r="AC170" i="1"/>
  <c r="AE170" i="1" s="1"/>
  <c r="AG170" i="1" s="1"/>
  <c r="AB170" i="1" s="1"/>
  <c r="AC301" i="1"/>
  <c r="AE301" i="1" s="1"/>
  <c r="AG301" i="1" s="1"/>
  <c r="AB301" i="1" s="1"/>
  <c r="BC176" i="1"/>
  <c r="BC125" i="1"/>
  <c r="AD349" i="1"/>
  <c r="AF349" i="1" s="1"/>
  <c r="AC223" i="1"/>
  <c r="AE223" i="1" s="1"/>
  <c r="X328" i="1"/>
  <c r="BD328" i="1" s="1"/>
  <c r="BB222" i="1"/>
  <c r="BB264" i="1"/>
  <c r="AC197" i="1"/>
  <c r="AE197" i="1" s="1"/>
  <c r="AC247" i="1"/>
  <c r="AE247" i="1" s="1"/>
  <c r="AG247" i="1" s="1"/>
  <c r="AB247" i="1" s="1"/>
  <c r="BB341" i="1"/>
  <c r="X263" i="1"/>
  <c r="BD263" i="1" s="1"/>
  <c r="BC95" i="1"/>
  <c r="X324" i="1"/>
  <c r="BD324" i="1" s="1"/>
  <c r="X346" i="1"/>
  <c r="BD346" i="1" s="1"/>
  <c r="X62" i="1"/>
  <c r="BD62" i="1" s="1"/>
  <c r="BB353" i="1"/>
  <c r="BC216" i="1"/>
  <c r="BB375" i="1"/>
  <c r="BC114" i="1"/>
  <c r="AC49" i="1"/>
  <c r="AE49" i="1" s="1"/>
  <c r="AG49" i="1" s="1"/>
  <c r="AB49" i="1" s="1"/>
  <c r="BC263" i="1"/>
  <c r="AD335" i="1"/>
  <c r="AF335" i="1" s="1"/>
  <c r="AG335" i="1" s="1"/>
  <c r="AB335" i="1" s="1"/>
  <c r="X370" i="1"/>
  <c r="BD370" i="1" s="1"/>
  <c r="AC251" i="1"/>
  <c r="AE251" i="1" s="1"/>
  <c r="AG251" i="1" s="1"/>
  <c r="AB251" i="1" s="1"/>
  <c r="BC130" i="1"/>
  <c r="BC203" i="1"/>
  <c r="X209" i="1"/>
  <c r="BD209" i="1" s="1"/>
  <c r="BB300" i="1"/>
  <c r="AD260" i="1"/>
  <c r="AF260" i="1" s="1"/>
  <c r="AG260" i="1" s="1"/>
  <c r="AB260" i="1" s="1"/>
  <c r="BB318" i="1"/>
  <c r="AC102" i="1"/>
  <c r="AE102" i="1" s="1"/>
  <c r="AG102" i="1" s="1"/>
  <c r="AB102" i="1" s="1"/>
  <c r="X50" i="1"/>
  <c r="BD50" i="1" s="1"/>
  <c r="AD92" i="1"/>
  <c r="AF92" i="1" s="1"/>
  <c r="AC248" i="1"/>
  <c r="AE248" i="1" s="1"/>
  <c r="X36" i="1"/>
  <c r="BD36" i="1" s="1"/>
  <c r="BC345" i="1"/>
  <c r="BC104" i="1"/>
  <c r="X117" i="1"/>
  <c r="BD117" i="1" s="1"/>
  <c r="BB256" i="1"/>
  <c r="BB368" i="1"/>
  <c r="BB91" i="1"/>
  <c r="X299" i="1"/>
  <c r="BD299" i="1" s="1"/>
  <c r="X70" i="1"/>
  <c r="BD70" i="1" s="1"/>
  <c r="X380" i="1"/>
  <c r="BD380" i="1" s="1"/>
  <c r="BC62" i="1"/>
  <c r="AD125" i="1"/>
  <c r="AF125" i="1" s="1"/>
  <c r="BC277" i="1"/>
  <c r="BB223" i="1"/>
  <c r="X285" i="1"/>
  <c r="BD285" i="1" s="1"/>
  <c r="AC222" i="1"/>
  <c r="AE222" i="1" s="1"/>
  <c r="AG222" i="1" s="1"/>
  <c r="AB222" i="1" s="1"/>
  <c r="AC264" i="1"/>
  <c r="AE264" i="1" s="1"/>
  <c r="AG264" i="1" s="1"/>
  <c r="AB264" i="1" s="1"/>
  <c r="BB197" i="1"/>
  <c r="BB247" i="1"/>
  <c r="BB135" i="1"/>
  <c r="BC86" i="1"/>
  <c r="BB61" i="1"/>
  <c r="AD95" i="1"/>
  <c r="AF95" i="1" s="1"/>
  <c r="AD180" i="1"/>
  <c r="AF180" i="1" s="1"/>
  <c r="AG180" i="1" s="1"/>
  <c r="AB180" i="1" s="1"/>
  <c r="AC253" i="1"/>
  <c r="AE253" i="1" s="1"/>
  <c r="AG253" i="1" s="1"/>
  <c r="AB253" i="1" s="1"/>
  <c r="AC354" i="1"/>
  <c r="AE354" i="1" s="1"/>
  <c r="X114" i="1"/>
  <c r="BD114" i="1" s="1"/>
  <c r="AC218" i="1"/>
  <c r="AE218" i="1" s="1"/>
  <c r="AG218" i="1" s="1"/>
  <c r="AB218" i="1" s="1"/>
  <c r="AD132" i="1"/>
  <c r="AF132" i="1" s="1"/>
  <c r="X148" i="1"/>
  <c r="BD148" i="1" s="1"/>
  <c r="X353" i="1"/>
  <c r="BD353" i="1" s="1"/>
  <c r="X375" i="1"/>
  <c r="BD375" i="1" s="1"/>
  <c r="BB40" i="1"/>
  <c r="X42" i="1"/>
  <c r="BD42" i="1" s="1"/>
  <c r="AD356" i="1"/>
  <c r="AF356" i="1" s="1"/>
  <c r="BC335" i="1"/>
  <c r="X132" i="1"/>
  <c r="BD132" i="1" s="1"/>
  <c r="AC300" i="1"/>
  <c r="AE300" i="1" s="1"/>
  <c r="BC260" i="1"/>
  <c r="BB102" i="1"/>
  <c r="BC195" i="1"/>
  <c r="X241" i="1"/>
  <c r="BD241" i="1" s="1"/>
  <c r="AC47" i="1"/>
  <c r="AE47" i="1" s="1"/>
  <c r="AG47" i="1" s="1"/>
  <c r="AB47" i="1" s="1"/>
  <c r="AD104" i="1"/>
  <c r="AF104" i="1" s="1"/>
  <c r="BB262" i="1"/>
  <c r="AC256" i="1"/>
  <c r="AE256" i="1" s="1"/>
  <c r="AC368" i="1"/>
  <c r="AE368" i="1" s="1"/>
  <c r="AG368" i="1" s="1"/>
  <c r="AB368" i="1" s="1"/>
  <c r="BB186" i="1"/>
  <c r="BC99" i="1"/>
  <c r="AD156" i="1"/>
  <c r="AF156" i="1" s="1"/>
  <c r="AG156" i="1" s="1"/>
  <c r="AB156" i="1" s="1"/>
  <c r="AC91" i="1"/>
  <c r="AE91" i="1" s="1"/>
  <c r="BC138" i="1"/>
  <c r="BB294" i="1"/>
  <c r="BB191" i="1"/>
  <c r="X46" i="1"/>
  <c r="BD46" i="1" s="1"/>
  <c r="BB269" i="1"/>
  <c r="BB126" i="1"/>
  <c r="X86" i="1"/>
  <c r="BD86" i="1" s="1"/>
  <c r="AC135" i="1"/>
  <c r="AE135" i="1" s="1"/>
  <c r="AG135" i="1" s="1"/>
  <c r="AB135" i="1" s="1"/>
  <c r="AC61" i="1"/>
  <c r="AE61" i="1" s="1"/>
  <c r="BB30" i="1"/>
  <c r="BB354" i="1"/>
  <c r="X218" i="1"/>
  <c r="BD218" i="1" s="1"/>
  <c r="BC67" i="1"/>
  <c r="AC40" i="1"/>
  <c r="AE40" i="1" s="1"/>
  <c r="AG40" i="1" s="1"/>
  <c r="AB40" i="1" s="1"/>
  <c r="BB60" i="1"/>
  <c r="AC355" i="1"/>
  <c r="AE355" i="1" s="1"/>
  <c r="BB153" i="1"/>
  <c r="BC380" i="1"/>
  <c r="BC241" i="1"/>
  <c r="BB322" i="1"/>
  <c r="BB47" i="1"/>
  <c r="BC140" i="1"/>
  <c r="AC167" i="1"/>
  <c r="AE167" i="1" s="1"/>
  <c r="AC262" i="1"/>
  <c r="AE262" i="1" s="1"/>
  <c r="X186" i="1"/>
  <c r="BD186" i="1" s="1"/>
  <c r="AC294" i="1"/>
  <c r="AE294" i="1" s="1"/>
  <c r="AG294" i="1" s="1"/>
  <c r="AB294" i="1" s="1"/>
  <c r="AC77" i="1"/>
  <c r="AE77" i="1" s="1"/>
  <c r="AG77" i="1" s="1"/>
  <c r="AB77" i="1" s="1"/>
  <c r="X180" i="1"/>
  <c r="BD180" i="1" s="1"/>
  <c r="AD360" i="1"/>
  <c r="AF360" i="1" s="1"/>
  <c r="AG360" i="1" s="1"/>
  <c r="AB360" i="1" s="1"/>
  <c r="X191" i="1"/>
  <c r="BD191" i="1" s="1"/>
  <c r="BC258" i="1"/>
  <c r="BB350" i="1"/>
  <c r="X139" i="1"/>
  <c r="BD139" i="1" s="1"/>
  <c r="AC269" i="1"/>
  <c r="AE269" i="1" s="1"/>
  <c r="AG269" i="1" s="1"/>
  <c r="AB269" i="1" s="1"/>
  <c r="AD42" i="1"/>
  <c r="AF42" i="1" s="1"/>
  <c r="BB266" i="1"/>
  <c r="BC285" i="1"/>
  <c r="BC257" i="1"/>
  <c r="X126" i="1"/>
  <c r="BD126" i="1" s="1"/>
  <c r="BB305" i="1"/>
  <c r="AC30" i="1"/>
  <c r="AE30" i="1" s="1"/>
  <c r="AG30" i="1" s="1"/>
  <c r="AB30" i="1" s="1"/>
  <c r="BC165" i="1"/>
  <c r="AC56" i="1"/>
  <c r="AE56" i="1" s="1"/>
  <c r="AG56" i="1" s="1"/>
  <c r="AB56" i="1" s="1"/>
  <c r="BB310" i="1"/>
  <c r="X231" i="1"/>
  <c r="BD231" i="1" s="1"/>
  <c r="AC314" i="1"/>
  <c r="AE314" i="1" s="1"/>
  <c r="AD291" i="1"/>
  <c r="AF291" i="1" s="1"/>
  <c r="X305" i="1"/>
  <c r="BD305" i="1" s="1"/>
  <c r="X162" i="1"/>
  <c r="BD162" i="1" s="1"/>
  <c r="AC67" i="1"/>
  <c r="AE67" i="1" s="1"/>
  <c r="AC348" i="1"/>
  <c r="AE348" i="1" s="1"/>
  <c r="BB317" i="1"/>
  <c r="BC299" i="1"/>
  <c r="X52" i="1"/>
  <c r="BD52" i="1" s="1"/>
  <c r="BB355" i="1"/>
  <c r="X153" i="1"/>
  <c r="BD153" i="1" s="1"/>
  <c r="BC375" i="1"/>
  <c r="BB111" i="1"/>
  <c r="X322" i="1"/>
  <c r="BD322" i="1" s="1"/>
  <c r="AD140" i="1"/>
  <c r="AF140" i="1" s="1"/>
  <c r="BB167" i="1"/>
  <c r="X97" i="1"/>
  <c r="BD97" i="1" s="1"/>
  <c r="BB156" i="1"/>
  <c r="BC48" i="1"/>
  <c r="BC283" i="1"/>
  <c r="AD81" i="1"/>
  <c r="AF81" i="1" s="1"/>
  <c r="AG81" i="1" s="1"/>
  <c r="AB81" i="1" s="1"/>
  <c r="BB383" i="1"/>
  <c r="BB366" i="1"/>
  <c r="BB77" i="1"/>
  <c r="AD106" i="1"/>
  <c r="AF106" i="1" s="1"/>
  <c r="BC360" i="1"/>
  <c r="AC65" i="1"/>
  <c r="AE65" i="1" s="1"/>
  <c r="AC350" i="1"/>
  <c r="AE350" i="1" s="1"/>
  <c r="AG350" i="1" s="1"/>
  <c r="AB350" i="1" s="1"/>
  <c r="BC272" i="1"/>
  <c r="BB258" i="1"/>
  <c r="AC266" i="1"/>
  <c r="AE266" i="1" s="1"/>
  <c r="AG266" i="1" s="1"/>
  <c r="AB266" i="1" s="1"/>
  <c r="X291" i="1"/>
  <c r="BD291" i="1" s="1"/>
  <c r="BB181" i="1"/>
  <c r="BB195" i="1"/>
  <c r="AC224" i="1"/>
  <c r="AE224" i="1" s="1"/>
  <c r="BC164" i="1"/>
  <c r="BB311" i="1"/>
  <c r="AD331" i="1"/>
  <c r="AF331" i="1" s="1"/>
  <c r="AG331" i="1" s="1"/>
  <c r="AB331" i="1" s="1"/>
  <c r="BB214" i="1"/>
  <c r="BB56" i="1"/>
  <c r="BB361" i="1"/>
  <c r="BC139" i="1"/>
  <c r="X307" i="1"/>
  <c r="BD307" i="1" s="1"/>
  <c r="X273" i="1"/>
  <c r="BD273" i="1" s="1"/>
  <c r="BB242" i="1"/>
  <c r="X149" i="1"/>
  <c r="BD149" i="1" s="1"/>
  <c r="BB314" i="1"/>
  <c r="BB216" i="1"/>
  <c r="BB129" i="1"/>
  <c r="BB67" i="1"/>
  <c r="BB38" i="1"/>
  <c r="BB348" i="1"/>
  <c r="X317" i="1"/>
  <c r="BD317" i="1" s="1"/>
  <c r="BB274" i="1"/>
  <c r="BB198" i="1"/>
  <c r="AC111" i="1"/>
  <c r="AE111" i="1" s="1"/>
  <c r="X106" i="1"/>
  <c r="BD106" i="1" s="1"/>
  <c r="BB71" i="1"/>
  <c r="BC81" i="1"/>
  <c r="AC122" i="1"/>
  <c r="AE122" i="1" s="1"/>
  <c r="AG122" i="1" s="1"/>
  <c r="AB122" i="1" s="1"/>
  <c r="AC366" i="1"/>
  <c r="AE366" i="1" s="1"/>
  <c r="AG366" i="1" s="1"/>
  <c r="AB366" i="1" s="1"/>
  <c r="BB230" i="1"/>
  <c r="AD162" i="1"/>
  <c r="AF162" i="1" s="1"/>
  <c r="AC80" i="1"/>
  <c r="AE80" i="1" s="1"/>
  <c r="X164" i="1"/>
  <c r="BD164" i="1" s="1"/>
  <c r="AD372" i="1"/>
  <c r="AF372" i="1" s="1"/>
  <c r="AG372" i="1" s="1"/>
  <c r="AB372" i="1" s="1"/>
  <c r="BB65" i="1"/>
  <c r="BC262" i="1"/>
  <c r="AD272" i="1"/>
  <c r="AF272" i="1" s="1"/>
  <c r="AC258" i="1"/>
  <c r="AE258" i="1" s="1"/>
  <c r="BB206" i="1"/>
  <c r="BB113" i="1"/>
  <c r="AD307" i="1"/>
  <c r="AF307" i="1" s="1"/>
  <c r="BC61" i="1"/>
  <c r="AC219" i="1"/>
  <c r="AE219" i="1" s="1"/>
  <c r="AC181" i="1"/>
  <c r="AE181" i="1" s="1"/>
  <c r="AG181" i="1" s="1"/>
  <c r="AB181" i="1" s="1"/>
  <c r="AC195" i="1"/>
  <c r="AE195" i="1" s="1"/>
  <c r="X224" i="1"/>
  <c r="BD224" i="1" s="1"/>
  <c r="X311" i="1"/>
  <c r="BD311" i="1" s="1"/>
  <c r="X361" i="1"/>
  <c r="BD361" i="1" s="1"/>
  <c r="BB235" i="1"/>
  <c r="AC242" i="1"/>
  <c r="AE242" i="1" s="1"/>
  <c r="X274" i="1"/>
  <c r="BD274" i="1" s="1"/>
  <c r="BB48" i="1"/>
  <c r="X278" i="1"/>
  <c r="BD278" i="1" s="1"/>
  <c r="X113" i="1"/>
  <c r="BD113" i="1" s="1"/>
  <c r="X99" i="1"/>
  <c r="BD99" i="1" s="1"/>
  <c r="AC235" i="1"/>
  <c r="AE235" i="1" s="1"/>
  <c r="BC320" i="1"/>
  <c r="AD320" i="1"/>
  <c r="AF320" i="1" s="1"/>
  <c r="AG320" i="1" s="1"/>
  <c r="AB320" i="1" s="1"/>
  <c r="BC209" i="1"/>
  <c r="AD209" i="1"/>
  <c r="AF209" i="1" s="1"/>
  <c r="BC337" i="1"/>
  <c r="AD337" i="1"/>
  <c r="AF337" i="1" s="1"/>
  <c r="AG337" i="1" s="1"/>
  <c r="AB337" i="1" s="1"/>
  <c r="BC308" i="1"/>
  <c r="AD308" i="1"/>
  <c r="AF308" i="1" s="1"/>
  <c r="BC142" i="1"/>
  <c r="AD142" i="1"/>
  <c r="AF142" i="1" s="1"/>
  <c r="AG142" i="1" s="1"/>
  <c r="AB142" i="1" s="1"/>
  <c r="BC207" i="1"/>
  <c r="AD207" i="1"/>
  <c r="AF207" i="1" s="1"/>
  <c r="AG207" i="1" s="1"/>
  <c r="AB207" i="1" s="1"/>
  <c r="BC387" i="1"/>
  <c r="AD387" i="1"/>
  <c r="AF387" i="1" s="1"/>
  <c r="AG387" i="1" s="1"/>
  <c r="AB387" i="1" s="1"/>
  <c r="BC309" i="1"/>
  <c r="AD309" i="1"/>
  <c r="AF309" i="1" s="1"/>
  <c r="AG309" i="1" s="1"/>
  <c r="AB309" i="1" s="1"/>
  <c r="BC231" i="1"/>
  <c r="AD231" i="1"/>
  <c r="AF231" i="1" s="1"/>
  <c r="AG231" i="1" s="1"/>
  <c r="AB231" i="1" s="1"/>
  <c r="BC31" i="1"/>
  <c r="AD31" i="1"/>
  <c r="AF31" i="1" s="1"/>
  <c r="BC175" i="1"/>
  <c r="AD175" i="1"/>
  <c r="AF175" i="1" s="1"/>
  <c r="AG175" i="1" s="1"/>
  <c r="AB175" i="1" s="1"/>
  <c r="BC26" i="1"/>
  <c r="AD26" i="1"/>
  <c r="AF26" i="1" s="1"/>
  <c r="BC358" i="1"/>
  <c r="AD358" i="1"/>
  <c r="AF358" i="1" s="1"/>
  <c r="BB220" i="1"/>
  <c r="X39" i="1"/>
  <c r="BD39" i="1" s="1"/>
  <c r="AD165" i="1"/>
  <c r="AF165" i="1" s="1"/>
  <c r="AG165" i="1" s="1"/>
  <c r="AB165" i="1" s="1"/>
  <c r="BB79" i="1"/>
  <c r="AD353" i="1"/>
  <c r="AF353" i="1" s="1"/>
  <c r="BC326" i="1"/>
  <c r="AD326" i="1"/>
  <c r="AF326" i="1" s="1"/>
  <c r="X59" i="1"/>
  <c r="BD59" i="1" s="1"/>
  <c r="X253" i="1"/>
  <c r="BD253" i="1" s="1"/>
  <c r="BB205" i="1"/>
  <c r="BB76" i="1"/>
  <c r="X11" i="1"/>
  <c r="BD11" i="1" s="1"/>
  <c r="AC11" i="1"/>
  <c r="X155" i="1"/>
  <c r="BD155" i="1" s="1"/>
  <c r="X329" i="1"/>
  <c r="BD329" i="1" s="1"/>
  <c r="X297" i="1"/>
  <c r="BD297" i="1" s="1"/>
  <c r="AC297" i="1"/>
  <c r="AE297" i="1" s="1"/>
  <c r="AG297" i="1" s="1"/>
  <c r="AB297" i="1" s="1"/>
  <c r="X365" i="1"/>
  <c r="BD365" i="1" s="1"/>
  <c r="AC365" i="1"/>
  <c r="AE365" i="1" s="1"/>
  <c r="AG365" i="1" s="1"/>
  <c r="AB365" i="1" s="1"/>
  <c r="BB273" i="1"/>
  <c r="AG391" i="1"/>
  <c r="AB391" i="1" s="1"/>
  <c r="H9" i="139"/>
  <c r="X246" i="1"/>
  <c r="BD246" i="1" s="1"/>
  <c r="BB155" i="1"/>
  <c r="BB96" i="1"/>
  <c r="X75" i="1"/>
  <c r="BD75" i="1" s="1"/>
  <c r="AG110" i="1"/>
  <c r="AB110" i="1" s="1"/>
  <c r="AG255" i="1"/>
  <c r="AB255" i="1" s="1"/>
  <c r="AG163" i="1"/>
  <c r="AB163" i="1" s="1"/>
  <c r="AG87" i="1"/>
  <c r="AB87" i="1" s="1"/>
  <c r="AG72" i="1"/>
  <c r="AB72" i="1" s="1"/>
  <c r="AG194" i="1"/>
  <c r="AB194" i="1" s="1"/>
  <c r="AG279" i="1"/>
  <c r="AB279" i="1" s="1"/>
  <c r="AG342" i="1"/>
  <c r="AB342" i="1" s="1"/>
  <c r="AG369" i="1"/>
  <c r="AB369" i="1" s="1"/>
  <c r="AG89" i="1"/>
  <c r="AB89" i="1" s="1"/>
  <c r="AG112" i="1"/>
  <c r="AB112" i="1" s="1"/>
  <c r="AG238" i="1"/>
  <c r="AB238" i="1" s="1"/>
  <c r="AG169" i="1"/>
  <c r="AB169" i="1" s="1"/>
  <c r="AG202" i="1"/>
  <c r="AB202" i="1" s="1"/>
  <c r="AG310" i="1"/>
  <c r="AB310" i="1" s="1"/>
  <c r="AG328" i="1"/>
  <c r="AB328" i="1" s="1"/>
  <c r="AG267" i="1"/>
  <c r="AB267" i="1" s="1"/>
  <c r="AG318" i="1"/>
  <c r="AB318" i="1" s="1"/>
  <c r="AG270" i="1"/>
  <c r="AB270" i="1" s="1"/>
  <c r="AG221" i="1"/>
  <c r="AB221" i="1" s="1"/>
  <c r="AG237" i="1"/>
  <c r="AB237" i="1" s="1"/>
  <c r="AG211" i="1"/>
  <c r="AB211" i="1" s="1"/>
  <c r="AG33" i="1"/>
  <c r="AB33" i="1" s="1"/>
  <c r="AG94" i="1"/>
  <c r="AB94" i="1" s="1"/>
  <c r="AG306" i="1"/>
  <c r="AB306" i="1" s="1"/>
  <c r="AG324" i="1"/>
  <c r="AB324" i="1" s="1"/>
  <c r="AG103" i="1"/>
  <c r="AB103" i="1" s="1"/>
  <c r="AG121" i="1"/>
  <c r="AB121" i="1" s="1"/>
  <c r="AG239" i="1"/>
  <c r="AB239" i="1" s="1"/>
  <c r="AG69" i="1"/>
  <c r="AB69" i="1" s="1"/>
  <c r="AG129" i="1"/>
  <c r="AB129" i="1" s="1"/>
  <c r="AG217" i="1"/>
  <c r="AB217" i="1" s="1"/>
  <c r="AG249" i="1"/>
  <c r="AB249" i="1" s="1"/>
  <c r="AG341" i="1"/>
  <c r="AB341" i="1" s="1"/>
  <c r="AG173" i="1"/>
  <c r="AB173" i="1" s="1"/>
  <c r="BB11" i="1"/>
  <c r="Q4" i="1"/>
  <c r="X9" i="1"/>
  <c r="BD9" i="1" s="1"/>
  <c r="I29" i="139"/>
  <c r="BC9" i="1"/>
  <c r="J55" i="139"/>
  <c r="K55" i="139" s="1"/>
  <c r="AH21" i="1" s="1"/>
  <c r="H48" i="139"/>
  <c r="J48" i="139" s="1"/>
  <c r="K48" i="139" s="1"/>
  <c r="AH293" i="1" s="1"/>
  <c r="G58" i="139"/>
  <c r="H49" i="139"/>
  <c r="AC16" i="1"/>
  <c r="AD15" i="1"/>
  <c r="AF15" i="1" s="1"/>
  <c r="G17" i="139"/>
  <c r="X18" i="1"/>
  <c r="BD18" i="1" s="1"/>
  <c r="G5" i="139"/>
  <c r="J5" i="139" s="1"/>
  <c r="K5" i="139" s="1"/>
  <c r="AH396" i="1" s="1"/>
  <c r="G33" i="139"/>
  <c r="I33" i="139" s="1"/>
  <c r="G32" i="139"/>
  <c r="G40" i="139"/>
  <c r="G37" i="139"/>
  <c r="N49" i="139"/>
  <c r="G49" i="139"/>
  <c r="P13" i="139"/>
  <c r="Q13" i="139"/>
  <c r="R13" i="139" s="1"/>
  <c r="AI381" i="1" s="1"/>
  <c r="G18" i="139"/>
  <c r="G12" i="139"/>
  <c r="G16" i="139"/>
  <c r="G34" i="139"/>
  <c r="G47" i="139"/>
  <c r="G21" i="139"/>
  <c r="G27" i="139"/>
  <c r="G36" i="139"/>
  <c r="G52" i="139"/>
  <c r="G23" i="139"/>
  <c r="G45" i="139"/>
  <c r="G25" i="139"/>
  <c r="G28" i="139"/>
  <c r="I22" i="139"/>
  <c r="J22" i="139"/>
  <c r="K22" i="139" s="1"/>
  <c r="AH187" i="1" s="1"/>
  <c r="G19" i="139"/>
  <c r="G60" i="139"/>
  <c r="G46" i="139"/>
  <c r="G41" i="139"/>
  <c r="G14" i="139"/>
  <c r="G20" i="139"/>
  <c r="G13" i="139"/>
  <c r="G6" i="139"/>
  <c r="G30" i="139"/>
  <c r="G38" i="139"/>
  <c r="G59" i="139"/>
  <c r="G51" i="139"/>
  <c r="G39" i="139"/>
  <c r="I55" i="139"/>
  <c r="G42" i="139"/>
  <c r="G11" i="139"/>
  <c r="G50" i="139"/>
  <c r="G54" i="139"/>
  <c r="G35" i="139"/>
  <c r="J29" i="139"/>
  <c r="K29" i="139" s="1"/>
  <c r="AH292" i="1" s="1"/>
  <c r="G26" i="139"/>
  <c r="AE6" i="1"/>
  <c r="G43" i="139"/>
  <c r="G7" i="139"/>
  <c r="H31" i="139"/>
  <c r="J31" i="139" s="1"/>
  <c r="K31" i="139" s="1"/>
  <c r="AH280" i="1" s="1"/>
  <c r="G24" i="139"/>
  <c r="G56" i="139"/>
  <c r="G9" i="139"/>
  <c r="I44" i="139"/>
  <c r="J44" i="139"/>
  <c r="K44" i="139" s="1"/>
  <c r="AH316" i="1" s="1"/>
  <c r="X6" i="1"/>
  <c r="BD6" i="1" s="1"/>
  <c r="V4" i="1"/>
  <c r="W4" i="1"/>
  <c r="N32" i="139"/>
  <c r="BC15" i="1"/>
  <c r="BB6" i="1"/>
  <c r="N20" i="139"/>
  <c r="X17" i="1"/>
  <c r="BD17" i="1" s="1"/>
  <c r="N41" i="139"/>
  <c r="N29" i="139"/>
  <c r="BC18" i="1"/>
  <c r="N27" i="139"/>
  <c r="N17" i="139"/>
  <c r="N51" i="139"/>
  <c r="N6" i="139"/>
  <c r="O49" i="139"/>
  <c r="N55" i="139"/>
  <c r="N9" i="139"/>
  <c r="N59" i="139"/>
  <c r="N57" i="139"/>
  <c r="N42" i="139"/>
  <c r="N40" i="139"/>
  <c r="N5" i="139"/>
  <c r="Q5" i="139" s="1"/>
  <c r="X16" i="1"/>
  <c r="BD16" i="1" s="1"/>
  <c r="BB7" i="1"/>
  <c r="AE8" i="1"/>
  <c r="N16" i="139"/>
  <c r="BC13" i="1"/>
  <c r="N50" i="139"/>
  <c r="BB8" i="1"/>
  <c r="X7" i="1"/>
  <c r="BD7" i="1" s="1"/>
  <c r="N21" i="139"/>
  <c r="N46" i="139"/>
  <c r="N26" i="139"/>
  <c r="N37" i="139"/>
  <c r="N25" i="139"/>
  <c r="N24" i="139"/>
  <c r="N56" i="139"/>
  <c r="N11" i="139"/>
  <c r="X13" i="1"/>
  <c r="BD13" i="1" s="1"/>
  <c r="N14" i="139"/>
  <c r="N28" i="139"/>
  <c r="N54" i="139"/>
  <c r="N30" i="139"/>
  <c r="N47" i="139"/>
  <c r="N34" i="139"/>
  <c r="N12" i="139"/>
  <c r="N45" i="139"/>
  <c r="N52" i="139"/>
  <c r="N38" i="139"/>
  <c r="N35" i="139"/>
  <c r="N39" i="139"/>
  <c r="N43" i="139"/>
  <c r="N23" i="139"/>
  <c r="N18" i="139"/>
  <c r="N36" i="139"/>
  <c r="N19" i="139"/>
  <c r="P7" i="139"/>
  <c r="BB16" i="1"/>
  <c r="P15" i="139"/>
  <c r="P33" i="139"/>
  <c r="L3" i="71"/>
  <c r="C4" i="105" s="1"/>
  <c r="C5" i="105" s="1"/>
  <c r="BB14" i="1"/>
  <c r="BC17" i="1"/>
  <c r="P10" i="139"/>
  <c r="P31" i="139"/>
  <c r="BC8" i="1"/>
  <c r="X8" i="1"/>
  <c r="BD8" i="1" s="1"/>
  <c r="BB15" i="1"/>
  <c r="X15" i="1"/>
  <c r="BD15" i="1" s="1"/>
  <c r="X12" i="1"/>
  <c r="BD12" i="1" s="1"/>
  <c r="BC12" i="1"/>
  <c r="BC10" i="1"/>
  <c r="X10" i="1"/>
  <c r="BD10" i="1" s="1"/>
  <c r="X14" i="1"/>
  <c r="BD14" i="1" s="1"/>
  <c r="BC14" i="1"/>
  <c r="BB13" i="1"/>
  <c r="O60" i="139"/>
  <c r="Q60" i="139" s="1"/>
  <c r="AE11" i="1"/>
  <c r="O58" i="139"/>
  <c r="Q58" i="139" s="1"/>
  <c r="O22" i="139"/>
  <c r="Q22" i="139" s="1"/>
  <c r="AF11" i="1"/>
  <c r="AF9" i="1"/>
  <c r="O44" i="139" s="1"/>
  <c r="Q44" i="139" s="1"/>
  <c r="AF6" i="1"/>
  <c r="O53" i="139"/>
  <c r="Q53" i="139" s="1"/>
  <c r="O48" i="139"/>
  <c r="Q48" i="139" s="1"/>
  <c r="AF16" i="1"/>
  <c r="AE9" i="1"/>
  <c r="AG344" i="1" l="1"/>
  <c r="AB344" i="1" s="1"/>
  <c r="AG275" i="1"/>
  <c r="AB275" i="1" s="1"/>
  <c r="AG235" i="1"/>
  <c r="AB235" i="1" s="1"/>
  <c r="AG95" i="1"/>
  <c r="AB95" i="1" s="1"/>
  <c r="J53" i="139"/>
  <c r="K53" i="139" s="1"/>
  <c r="AH147" i="1" s="1"/>
  <c r="AG91" i="1"/>
  <c r="AB91" i="1" s="1"/>
  <c r="AG223" i="1"/>
  <c r="AB223" i="1" s="1"/>
  <c r="AG78" i="1"/>
  <c r="AB78" i="1" s="1"/>
  <c r="AG108" i="1"/>
  <c r="AB108" i="1" s="1"/>
  <c r="AG380" i="1"/>
  <c r="AB380" i="1" s="1"/>
  <c r="AG208" i="1"/>
  <c r="AB208" i="1" s="1"/>
  <c r="AG338" i="1"/>
  <c r="AB338" i="1" s="1"/>
  <c r="AG314" i="1"/>
  <c r="AB314" i="1" s="1"/>
  <c r="AG323" i="1"/>
  <c r="AB323" i="1" s="1"/>
  <c r="AG101" i="1"/>
  <c r="AB101" i="1" s="1"/>
  <c r="AG321" i="1"/>
  <c r="AB321" i="1" s="1"/>
  <c r="AG158" i="1"/>
  <c r="AB158" i="1" s="1"/>
  <c r="AG161" i="1"/>
  <c r="AB161" i="1" s="1"/>
  <c r="AG276" i="1"/>
  <c r="AB276" i="1" s="1"/>
  <c r="AG119" i="1"/>
  <c r="AB119" i="1" s="1"/>
  <c r="AG140" i="1"/>
  <c r="AB140" i="1" s="1"/>
  <c r="AG339" i="1"/>
  <c r="AB339" i="1" s="1"/>
  <c r="AG272" i="1"/>
  <c r="AB272" i="1" s="1"/>
  <c r="AG290" i="1"/>
  <c r="AB290" i="1" s="1"/>
  <c r="AG18" i="1"/>
  <c r="AB18" i="1" s="1"/>
  <c r="AG27" i="1"/>
  <c r="AB27" i="1" s="1"/>
  <c r="AG136" i="1"/>
  <c r="AB136" i="1" s="1"/>
  <c r="AG109" i="1"/>
  <c r="AB109" i="1" s="1"/>
  <c r="AG348" i="1"/>
  <c r="AB348" i="1" s="1"/>
  <c r="AG113" i="1"/>
  <c r="AB113" i="1" s="1"/>
  <c r="AG177" i="1"/>
  <c r="AB177" i="1" s="1"/>
  <c r="J15" i="139"/>
  <c r="K15" i="139" s="1"/>
  <c r="AH397" i="1" s="1"/>
  <c r="AG118" i="1"/>
  <c r="AB118" i="1" s="1"/>
  <c r="AG191" i="1"/>
  <c r="AB191" i="1" s="1"/>
  <c r="AG35" i="1"/>
  <c r="AB35" i="1" s="1"/>
  <c r="AG159" i="1"/>
  <c r="AB159" i="1" s="1"/>
  <c r="J10" i="139"/>
  <c r="K10" i="139" s="1"/>
  <c r="AH395" i="1" s="1"/>
  <c r="AG234" i="1"/>
  <c r="AB234" i="1" s="1"/>
  <c r="AG145" i="1"/>
  <c r="AB145" i="1" s="1"/>
  <c r="AG157" i="1"/>
  <c r="AB157" i="1" s="1"/>
  <c r="AG265" i="1"/>
  <c r="AB265" i="1" s="1"/>
  <c r="AG361" i="1"/>
  <c r="AB361" i="1" s="1"/>
  <c r="AG355" i="1"/>
  <c r="AB355" i="1" s="1"/>
  <c r="AG205" i="1"/>
  <c r="AB205" i="1" s="1"/>
  <c r="AG63" i="1"/>
  <c r="AB63" i="1" s="1"/>
  <c r="AG219" i="1"/>
  <c r="AB219" i="1" s="1"/>
  <c r="AG182" i="1"/>
  <c r="AB182" i="1" s="1"/>
  <c r="AG336" i="1"/>
  <c r="AB336" i="1" s="1"/>
  <c r="AG358" i="1"/>
  <c r="AB358" i="1" s="1"/>
  <c r="AG97" i="1"/>
  <c r="AB97" i="1" s="1"/>
  <c r="AG274" i="1"/>
  <c r="AB274" i="1" s="1"/>
  <c r="AG71" i="1"/>
  <c r="AB71" i="1" s="1"/>
  <c r="AG67" i="1"/>
  <c r="AB67" i="1" s="1"/>
  <c r="AG44" i="1"/>
  <c r="AB44" i="1" s="1"/>
  <c r="AG61" i="1"/>
  <c r="AB61" i="1" s="1"/>
  <c r="AG288" i="1"/>
  <c r="AB288" i="1" s="1"/>
  <c r="AG308" i="1"/>
  <c r="AB308" i="1" s="1"/>
  <c r="AG141" i="1"/>
  <c r="AB141" i="1" s="1"/>
  <c r="AG300" i="1"/>
  <c r="AB300" i="1" s="1"/>
  <c r="AG362" i="1"/>
  <c r="AB362" i="1" s="1"/>
  <c r="AG111" i="1"/>
  <c r="AB111" i="1" s="1"/>
  <c r="AG376" i="1"/>
  <c r="AB376" i="1" s="1"/>
  <c r="AG325" i="1"/>
  <c r="AB325" i="1" s="1"/>
  <c r="AG172" i="1"/>
  <c r="AB172" i="1" s="1"/>
  <c r="AG104" i="1"/>
  <c r="AB104" i="1" s="1"/>
  <c r="AG150" i="1"/>
  <c r="AB150" i="1" s="1"/>
  <c r="AG257" i="1"/>
  <c r="AB257" i="1" s="1"/>
  <c r="AG299" i="1"/>
  <c r="AB299" i="1" s="1"/>
  <c r="AG216" i="1"/>
  <c r="AB216" i="1" s="1"/>
  <c r="AG326" i="1"/>
  <c r="AB326" i="1" s="1"/>
  <c r="AG349" i="1"/>
  <c r="AB349" i="1" s="1"/>
  <c r="AG283" i="1"/>
  <c r="AB283" i="1" s="1"/>
  <c r="AG258" i="1"/>
  <c r="AB258" i="1" s="1"/>
  <c r="AG73" i="1"/>
  <c r="AB73" i="1" s="1"/>
  <c r="AG195" i="1"/>
  <c r="AB195" i="1" s="1"/>
  <c r="AG233" i="1"/>
  <c r="AB233" i="1" s="1"/>
  <c r="AG31" i="1"/>
  <c r="AB31" i="1" s="1"/>
  <c r="AG224" i="1"/>
  <c r="AB224" i="1" s="1"/>
  <c r="AG248" i="1"/>
  <c r="AB248" i="1" s="1"/>
  <c r="AG304" i="1"/>
  <c r="AB304" i="1" s="1"/>
  <c r="AG42" i="1"/>
  <c r="AB42" i="1" s="1"/>
  <c r="AG298" i="1"/>
  <c r="AB298" i="1" s="1"/>
  <c r="AG291" i="1"/>
  <c r="AB291" i="1" s="1"/>
  <c r="AG139" i="1"/>
  <c r="AB139" i="1" s="1"/>
  <c r="AG38" i="1"/>
  <c r="AB38" i="1" s="1"/>
  <c r="AG256" i="1"/>
  <c r="AB256" i="1" s="1"/>
  <c r="AG363" i="1"/>
  <c r="AB363" i="1" s="1"/>
  <c r="AG346" i="1"/>
  <c r="AB346" i="1" s="1"/>
  <c r="AG343" i="1"/>
  <c r="AB343" i="1" s="1"/>
  <c r="AG329" i="1"/>
  <c r="AB329" i="1" s="1"/>
  <c r="AG32" i="1"/>
  <c r="AB32" i="1" s="1"/>
  <c r="AG378" i="1"/>
  <c r="AB378" i="1" s="1"/>
  <c r="AG65" i="1"/>
  <c r="AB65" i="1" s="1"/>
  <c r="AG305" i="1"/>
  <c r="AB305" i="1" s="1"/>
  <c r="AG307" i="1"/>
  <c r="AB307" i="1" s="1"/>
  <c r="AG59" i="1"/>
  <c r="AB59" i="1" s="1"/>
  <c r="AG252" i="1"/>
  <c r="AB252" i="1" s="1"/>
  <c r="AG312" i="1"/>
  <c r="AB312" i="1" s="1"/>
  <c r="AG364" i="1"/>
  <c r="AB364" i="1" s="1"/>
  <c r="AG246" i="1"/>
  <c r="AB246" i="1" s="1"/>
  <c r="AG48" i="1"/>
  <c r="AB48" i="1" s="1"/>
  <c r="AG375" i="1"/>
  <c r="AB375" i="1" s="1"/>
  <c r="AG209" i="1"/>
  <c r="AB209" i="1" s="1"/>
  <c r="AG125" i="1"/>
  <c r="AB125" i="1" s="1"/>
  <c r="AG149" i="1"/>
  <c r="AB149" i="1" s="1"/>
  <c r="AG26" i="1"/>
  <c r="AB26" i="1" s="1"/>
  <c r="AG353" i="1"/>
  <c r="AB353" i="1" s="1"/>
  <c r="AG162" i="1"/>
  <c r="AB162" i="1" s="1"/>
  <c r="AG92" i="1"/>
  <c r="AB92" i="1" s="1"/>
  <c r="H57" i="139"/>
  <c r="J57" i="139" s="1"/>
  <c r="K57" i="139" s="1"/>
  <c r="AG144" i="1"/>
  <c r="AB144" i="1" s="1"/>
  <c r="AG138" i="1"/>
  <c r="AB138" i="1" s="1"/>
  <c r="AG83" i="1"/>
  <c r="AB83" i="1" s="1"/>
  <c r="H42" i="139"/>
  <c r="I42" i="139" s="1"/>
  <c r="H11" i="139"/>
  <c r="J11" i="139" s="1"/>
  <c r="K11" i="139" s="1"/>
  <c r="AG262" i="1"/>
  <c r="AB262" i="1" s="1"/>
  <c r="AG317" i="1"/>
  <c r="AB317" i="1" s="1"/>
  <c r="H20" i="139"/>
  <c r="J20" i="139" s="1"/>
  <c r="K20" i="139" s="1"/>
  <c r="AG354" i="1"/>
  <c r="AB354" i="1" s="1"/>
  <c r="AG62" i="1"/>
  <c r="AB62" i="1" s="1"/>
  <c r="AG197" i="1"/>
  <c r="AB197" i="1" s="1"/>
  <c r="AG128" i="1"/>
  <c r="AB128" i="1" s="1"/>
  <c r="AG85" i="1"/>
  <c r="AB85" i="1" s="1"/>
  <c r="AG132" i="1"/>
  <c r="AB132" i="1" s="1"/>
  <c r="AG193" i="1"/>
  <c r="AB193" i="1" s="1"/>
  <c r="AG106" i="1"/>
  <c r="AB106" i="1" s="1"/>
  <c r="AG242" i="1"/>
  <c r="AB242" i="1" s="1"/>
  <c r="AG167" i="1"/>
  <c r="AB167" i="1" s="1"/>
  <c r="AG356" i="1"/>
  <c r="AB356" i="1" s="1"/>
  <c r="AG80" i="1"/>
  <c r="AB80" i="1" s="1"/>
  <c r="H40" i="139"/>
  <c r="I40" i="139" s="1"/>
  <c r="H32" i="139"/>
  <c r="J32" i="139" s="1"/>
  <c r="K32" i="139" s="1"/>
  <c r="AL280" i="1"/>
  <c r="AJ280" i="1"/>
  <c r="AL293" i="1"/>
  <c r="AJ293" i="1"/>
  <c r="AJ147" i="1"/>
  <c r="AL396" i="1"/>
  <c r="AJ396" i="1"/>
  <c r="AL316" i="1"/>
  <c r="AJ316" i="1"/>
  <c r="AL21" i="1"/>
  <c r="AJ21" i="1"/>
  <c r="AL292" i="1"/>
  <c r="AJ292" i="1"/>
  <c r="AM381" i="1"/>
  <c r="AK381" i="1"/>
  <c r="AL187" i="1"/>
  <c r="AJ187" i="1"/>
  <c r="I5" i="139"/>
  <c r="I48" i="139"/>
  <c r="J33" i="139"/>
  <c r="K33" i="139" s="1"/>
  <c r="AH388" i="1" s="1"/>
  <c r="Q49" i="139"/>
  <c r="P11" i="139"/>
  <c r="Q11" i="139"/>
  <c r="R11" i="139" s="1"/>
  <c r="P27" i="139"/>
  <c r="Q27" i="139"/>
  <c r="R27" i="139" s="1"/>
  <c r="P41" i="139"/>
  <c r="Q41" i="139"/>
  <c r="R41" i="139" s="1"/>
  <c r="AI393" i="1" s="1"/>
  <c r="J49" i="139"/>
  <c r="K49" i="139" s="1"/>
  <c r="AH373" i="1" s="1"/>
  <c r="I49" i="139"/>
  <c r="P6" i="139"/>
  <c r="Q6" i="139"/>
  <c r="R6" i="139" s="1"/>
  <c r="AI398" i="1" s="1"/>
  <c r="P32" i="139"/>
  <c r="Q32" i="139"/>
  <c r="R32" i="139" s="1"/>
  <c r="R10" i="139"/>
  <c r="AI395" i="1" s="1"/>
  <c r="R33" i="139"/>
  <c r="AI388" i="1" s="1"/>
  <c r="R7" i="139"/>
  <c r="AI394" i="1" s="1"/>
  <c r="R31" i="139"/>
  <c r="AI280" i="1" s="1"/>
  <c r="R15" i="139"/>
  <c r="AI397" i="1" s="1"/>
  <c r="H14" i="139"/>
  <c r="I14" i="139" s="1"/>
  <c r="H47" i="139"/>
  <c r="J47" i="139" s="1"/>
  <c r="K47" i="139" s="1"/>
  <c r="H17" i="139"/>
  <c r="I17" i="139" s="1"/>
  <c r="P5" i="139"/>
  <c r="N2" i="139"/>
  <c r="H21" i="139"/>
  <c r="J21" i="139" s="1"/>
  <c r="K21" i="139" s="1"/>
  <c r="H52" i="139"/>
  <c r="I52" i="139" s="1"/>
  <c r="H25" i="139"/>
  <c r="J25" i="139" s="1"/>
  <c r="K25" i="139" s="1"/>
  <c r="H37" i="139"/>
  <c r="J37" i="139" s="1"/>
  <c r="K37" i="139" s="1"/>
  <c r="J7" i="139"/>
  <c r="K7" i="139" s="1"/>
  <c r="AH394" i="1" s="1"/>
  <c r="I7" i="139"/>
  <c r="I31" i="139"/>
  <c r="I6" i="139"/>
  <c r="J6" i="139"/>
  <c r="K6" i="139" s="1"/>
  <c r="AH398" i="1" s="1"/>
  <c r="H59" i="139"/>
  <c r="J59" i="139" s="1"/>
  <c r="K59" i="139" s="1"/>
  <c r="AH367" i="1" s="1"/>
  <c r="H27" i="139"/>
  <c r="H28" i="139"/>
  <c r="I28" i="139" s="1"/>
  <c r="H58" i="139"/>
  <c r="H60" i="139"/>
  <c r="I60" i="139" s="1"/>
  <c r="J13" i="139"/>
  <c r="K13" i="139" s="1"/>
  <c r="AH381" i="1" s="1"/>
  <c r="I13" i="139"/>
  <c r="H39" i="139"/>
  <c r="I39" i="139" s="1"/>
  <c r="H51" i="139"/>
  <c r="J51" i="139" s="1"/>
  <c r="K51" i="139" s="1"/>
  <c r="H18" i="139"/>
  <c r="H16" i="139"/>
  <c r="J41" i="139"/>
  <c r="K41" i="139" s="1"/>
  <c r="AH393" i="1" s="1"/>
  <c r="I41" i="139"/>
  <c r="H35" i="139"/>
  <c r="J35" i="139" s="1"/>
  <c r="K35" i="139" s="1"/>
  <c r="AH261" i="1" s="1"/>
  <c r="H56" i="139"/>
  <c r="I56" i="139" s="1"/>
  <c r="G2" i="139"/>
  <c r="I9" i="139"/>
  <c r="J9" i="139"/>
  <c r="K9" i="139" s="1"/>
  <c r="AH391" i="1" s="1"/>
  <c r="BC4" i="1"/>
  <c r="BB4" i="1"/>
  <c r="X4" i="1"/>
  <c r="BD4" i="1"/>
  <c r="O9" i="139"/>
  <c r="Q9" i="139" s="1"/>
  <c r="O20" i="139"/>
  <c r="P20" i="139" s="1"/>
  <c r="O17" i="139"/>
  <c r="P17" i="139" s="1"/>
  <c r="C6" i="105"/>
  <c r="O56" i="139"/>
  <c r="Q56" i="139" s="1"/>
  <c r="AE7" i="1"/>
  <c r="O50" i="139"/>
  <c r="Q50" i="139" s="1"/>
  <c r="O23" i="139"/>
  <c r="Q23" i="139" s="1"/>
  <c r="O51" i="139"/>
  <c r="Q51" i="139" s="1"/>
  <c r="O21" i="139"/>
  <c r="Q21" i="139" s="1"/>
  <c r="O40" i="139"/>
  <c r="Q40" i="139" s="1"/>
  <c r="AE16" i="1"/>
  <c r="AG16" i="1" s="1"/>
  <c r="AF17" i="1"/>
  <c r="O59" i="139" s="1"/>
  <c r="Q59" i="139" s="1"/>
  <c r="AE14" i="1"/>
  <c r="H46" i="139" s="1"/>
  <c r="I46" i="139" s="1"/>
  <c r="H34" i="139"/>
  <c r="AF8" i="1"/>
  <c r="AE15" i="1"/>
  <c r="H23" i="139" s="1"/>
  <c r="H54" i="139"/>
  <c r="J54" i="139" s="1"/>
  <c r="K54" i="139" s="1"/>
  <c r="AF12" i="1"/>
  <c r="O16" i="139" s="1"/>
  <c r="P16" i="139" s="1"/>
  <c r="AF10" i="1"/>
  <c r="O55" i="139" s="1"/>
  <c r="Q55" i="139" s="1"/>
  <c r="H50" i="139"/>
  <c r="I50" i="139" s="1"/>
  <c r="AF14" i="1"/>
  <c r="O46" i="139" s="1"/>
  <c r="Q46" i="139" s="1"/>
  <c r="O42" i="139"/>
  <c r="Q42" i="139" s="1"/>
  <c r="H26" i="139"/>
  <c r="I26" i="139" s="1"/>
  <c r="O12" i="139"/>
  <c r="P12" i="139" s="1"/>
  <c r="O57" i="139"/>
  <c r="Q57" i="139" s="1"/>
  <c r="H12" i="139"/>
  <c r="AE13" i="1"/>
  <c r="H45" i="139" s="1"/>
  <c r="H36" i="139"/>
  <c r="O35" i="139"/>
  <c r="Q35" i="139" s="1"/>
  <c r="AG11" i="1"/>
  <c r="AG9" i="1"/>
  <c r="AG6" i="1"/>
  <c r="AL147" i="1" l="1"/>
  <c r="AJ395" i="1"/>
  <c r="Z395" i="1" s="1"/>
  <c r="AL395" i="1"/>
  <c r="AJ397" i="1"/>
  <c r="Z397" i="1" s="1"/>
  <c r="I20" i="139"/>
  <c r="AL397" i="1"/>
  <c r="O33" i="170" s="1"/>
  <c r="W33" i="170" s="1"/>
  <c r="I57" i="139"/>
  <c r="J42" i="139"/>
  <c r="K42" i="139" s="1"/>
  <c r="AH80" i="1" s="1"/>
  <c r="I11" i="139"/>
  <c r="I32" i="139"/>
  <c r="Z292" i="1"/>
  <c r="Z396" i="1"/>
  <c r="Z187" i="1"/>
  <c r="Z21" i="1"/>
  <c r="Z147" i="1"/>
  <c r="Z316" i="1"/>
  <c r="Z280" i="1"/>
  <c r="AA381" i="1"/>
  <c r="Z293" i="1"/>
  <c r="J40" i="139"/>
  <c r="K40" i="139" s="1"/>
  <c r="AH182" i="1" s="1"/>
  <c r="O93" i="170"/>
  <c r="O13" i="170"/>
  <c r="V13" i="170" s="1"/>
  <c r="O233" i="170"/>
  <c r="W233" i="170" s="1"/>
  <c r="O315" i="170"/>
  <c r="V315" i="170" s="1"/>
  <c r="O155" i="170"/>
  <c r="W155" i="170" s="1"/>
  <c r="N377" i="170"/>
  <c r="T377" i="170" s="1"/>
  <c r="O69" i="170"/>
  <c r="W69" i="170" s="1"/>
  <c r="O12" i="170"/>
  <c r="W12" i="170" s="1"/>
  <c r="O81" i="170"/>
  <c r="V81" i="170" s="1"/>
  <c r="O130" i="170"/>
  <c r="W130" i="170" s="1"/>
  <c r="AM280" i="1"/>
  <c r="AK280" i="1"/>
  <c r="AM394" i="1"/>
  <c r="AK394" i="1"/>
  <c r="AL373" i="1"/>
  <c r="AJ373" i="1"/>
  <c r="AL261" i="1"/>
  <c r="AJ261" i="1"/>
  <c r="AL394" i="1"/>
  <c r="AJ394" i="1"/>
  <c r="AM388" i="1"/>
  <c r="AK388" i="1"/>
  <c r="AM393" i="1"/>
  <c r="AK393" i="1"/>
  <c r="AL388" i="1"/>
  <c r="AJ388" i="1"/>
  <c r="AM397" i="1"/>
  <c r="AK397" i="1"/>
  <c r="AL391" i="1"/>
  <c r="AJ391" i="1"/>
  <c r="AM395" i="1"/>
  <c r="AK395" i="1"/>
  <c r="AL393" i="1"/>
  <c r="AJ393" i="1"/>
  <c r="AL367" i="1"/>
  <c r="AJ367" i="1"/>
  <c r="AL381" i="1"/>
  <c r="AJ381" i="1"/>
  <c r="AL398" i="1"/>
  <c r="AJ398" i="1"/>
  <c r="AM398" i="1"/>
  <c r="AK398" i="1"/>
  <c r="AI155" i="1"/>
  <c r="AI269" i="1"/>
  <c r="AI222" i="1"/>
  <c r="AI225" i="1"/>
  <c r="AI181" i="1"/>
  <c r="AI229" i="1"/>
  <c r="AI384" i="1"/>
  <c r="AI390" i="1"/>
  <c r="AI389" i="1"/>
  <c r="AI392" i="1"/>
  <c r="AH288" i="1"/>
  <c r="AH314" i="1"/>
  <c r="AH275" i="1"/>
  <c r="AH213" i="1"/>
  <c r="AH186" i="1"/>
  <c r="AH357" i="1"/>
  <c r="AH162" i="1"/>
  <c r="AH384" i="1"/>
  <c r="AH392" i="1"/>
  <c r="AH389" i="1"/>
  <c r="AH390" i="1"/>
  <c r="AH157" i="1"/>
  <c r="AH216" i="1"/>
  <c r="AH327" i="1"/>
  <c r="AH22" i="1"/>
  <c r="AH29" i="1"/>
  <c r="AH164" i="1"/>
  <c r="AH362" i="1"/>
  <c r="AH259" i="1"/>
  <c r="AH33" i="1"/>
  <c r="AH73" i="1"/>
  <c r="AH97" i="1"/>
  <c r="AH257" i="1"/>
  <c r="AH72" i="1"/>
  <c r="AH37" i="1"/>
  <c r="AH93" i="1"/>
  <c r="AH71" i="1"/>
  <c r="AH96" i="1"/>
  <c r="AH208" i="1"/>
  <c r="AH218" i="1"/>
  <c r="AH220" i="1"/>
  <c r="AH247" i="1"/>
  <c r="AH77" i="1"/>
  <c r="AH100" i="1"/>
  <c r="AH110" i="1"/>
  <c r="AH221" i="1"/>
  <c r="AH78" i="1"/>
  <c r="AH101" i="1"/>
  <c r="AH250" i="1"/>
  <c r="AH92" i="1"/>
  <c r="AH132" i="1"/>
  <c r="AH317" i="1"/>
  <c r="AH325" i="1"/>
  <c r="AH94" i="1"/>
  <c r="AH104" i="1"/>
  <c r="AH115" i="1"/>
  <c r="AH224" i="1"/>
  <c r="AH326" i="1"/>
  <c r="AH207" i="1"/>
  <c r="AH226" i="1"/>
  <c r="AH312" i="1"/>
  <c r="AH376" i="1"/>
  <c r="AH146" i="1"/>
  <c r="AH158" i="1"/>
  <c r="AH82" i="1"/>
  <c r="AH160" i="1"/>
  <c r="AH273" i="1"/>
  <c r="AH152" i="1"/>
  <c r="AH25" i="1"/>
  <c r="AH27" i="1"/>
  <c r="AH263" i="1"/>
  <c r="AH368" i="1"/>
  <c r="AH148" i="1"/>
  <c r="AH149" i="1"/>
  <c r="AH277" i="1"/>
  <c r="AH170" i="1"/>
  <c r="AH206" i="1"/>
  <c r="AH155" i="1"/>
  <c r="AH269" i="1"/>
  <c r="O39" i="139"/>
  <c r="Q39" i="139" s="1"/>
  <c r="J14" i="139"/>
  <c r="K14" i="139" s="1"/>
  <c r="Q17" i="139"/>
  <c r="R17" i="139" s="1"/>
  <c r="Q20" i="139"/>
  <c r="R20" i="139" s="1"/>
  <c r="Q16" i="139"/>
  <c r="R16" i="139" s="1"/>
  <c r="Q12" i="139"/>
  <c r="R12" i="139" s="1"/>
  <c r="R5" i="139"/>
  <c r="AI396" i="1" s="1"/>
  <c r="I47" i="139"/>
  <c r="J39" i="139"/>
  <c r="K39" i="139" s="1"/>
  <c r="I21" i="139"/>
  <c r="J60" i="139"/>
  <c r="K60" i="139" s="1"/>
  <c r="AH66" i="1" s="1"/>
  <c r="I35" i="139"/>
  <c r="H43" i="139"/>
  <c r="I43" i="139" s="1"/>
  <c r="I37" i="139"/>
  <c r="H38" i="139"/>
  <c r="I38" i="139" s="1"/>
  <c r="J17" i="139"/>
  <c r="K17" i="139" s="1"/>
  <c r="I59" i="139"/>
  <c r="J46" i="139"/>
  <c r="K46" i="139" s="1"/>
  <c r="I25" i="139"/>
  <c r="J52" i="139"/>
  <c r="K52" i="139" s="1"/>
  <c r="H19" i="139"/>
  <c r="I19" i="139" s="1"/>
  <c r="J45" i="139"/>
  <c r="K45" i="139" s="1"/>
  <c r="AH13" i="1" s="1"/>
  <c r="I45" i="139"/>
  <c r="J36" i="139"/>
  <c r="K36" i="139" s="1"/>
  <c r="I36" i="139"/>
  <c r="J27" i="139"/>
  <c r="K27" i="139" s="1"/>
  <c r="I27" i="139"/>
  <c r="I54" i="139"/>
  <c r="H24" i="139"/>
  <c r="J34" i="139"/>
  <c r="K34" i="139" s="1"/>
  <c r="I34" i="139"/>
  <c r="J50" i="139"/>
  <c r="K50" i="139" s="1"/>
  <c r="H30" i="139"/>
  <c r="J26" i="139"/>
  <c r="K26" i="139" s="1"/>
  <c r="I23" i="139"/>
  <c r="J23" i="139"/>
  <c r="K23" i="139" s="1"/>
  <c r="J28" i="139"/>
  <c r="K28" i="139" s="1"/>
  <c r="I16" i="139"/>
  <c r="J16" i="139"/>
  <c r="K16" i="139" s="1"/>
  <c r="J56" i="139"/>
  <c r="K56" i="139" s="1"/>
  <c r="J12" i="139"/>
  <c r="K12" i="139" s="1"/>
  <c r="I12" i="139"/>
  <c r="J18" i="139"/>
  <c r="K18" i="139" s="1"/>
  <c r="I18" i="139"/>
  <c r="J58" i="139"/>
  <c r="K58" i="139" s="1"/>
  <c r="I58" i="139"/>
  <c r="I51" i="139"/>
  <c r="P9" i="139"/>
  <c r="AF4" i="1"/>
  <c r="AE4" i="1"/>
  <c r="AB6" i="1"/>
  <c r="O47" i="139"/>
  <c r="Q47" i="139" s="1"/>
  <c r="O18" i="139"/>
  <c r="O29" i="139"/>
  <c r="Q29" i="139" s="1"/>
  <c r="O14" i="139"/>
  <c r="Q14" i="139" s="1"/>
  <c r="O26" i="139"/>
  <c r="O19" i="139"/>
  <c r="Q19" i="139" s="1"/>
  <c r="O24" i="139"/>
  <c r="Q24" i="139" s="1"/>
  <c r="O30" i="139"/>
  <c r="Q30" i="139" s="1"/>
  <c r="O52" i="139"/>
  <c r="Q52" i="139" s="1"/>
  <c r="O25" i="139"/>
  <c r="Q25" i="139" s="1"/>
  <c r="O43" i="139"/>
  <c r="Q43" i="139" s="1"/>
  <c r="O36" i="139"/>
  <c r="Q36" i="139" s="1"/>
  <c r="O28" i="139"/>
  <c r="Q28" i="139" s="1"/>
  <c r="O37" i="139"/>
  <c r="Q37" i="139" s="1"/>
  <c r="AG7" i="1"/>
  <c r="AB7" i="1" s="1"/>
  <c r="O38" i="139"/>
  <c r="Q38" i="139" s="1"/>
  <c r="O45" i="139"/>
  <c r="Q45" i="139" s="1"/>
  <c r="O34" i="139"/>
  <c r="Q34" i="139" s="1"/>
  <c r="O54" i="139"/>
  <c r="Q54" i="139" s="1"/>
  <c r="AG17" i="1"/>
  <c r="AB17" i="1" s="1"/>
  <c r="P57" i="139"/>
  <c r="AG8" i="1"/>
  <c r="AB8" i="1" s="1"/>
  <c r="AG15" i="1"/>
  <c r="AB15" i="1" s="1"/>
  <c r="AG12" i="1"/>
  <c r="AB12" i="1" s="1"/>
  <c r="AG10" i="1"/>
  <c r="AG14" i="1"/>
  <c r="AB14" i="1" s="1"/>
  <c r="AG13" i="1"/>
  <c r="AB13" i="1" s="1"/>
  <c r="AB11" i="1"/>
  <c r="AB9" i="1"/>
  <c r="AB16" i="1"/>
  <c r="AH330" i="1" l="1"/>
  <c r="AH183" i="1"/>
  <c r="Z367" i="1"/>
  <c r="AA397" i="1"/>
  <c r="Z394" i="1"/>
  <c r="AA280" i="1"/>
  <c r="AA398" i="1"/>
  <c r="Z393" i="1"/>
  <c r="Z388" i="1"/>
  <c r="Z261" i="1"/>
  <c r="Z398" i="1"/>
  <c r="AA395" i="1"/>
  <c r="AA393" i="1"/>
  <c r="Z373" i="1"/>
  <c r="Z381" i="1"/>
  <c r="Z391" i="1"/>
  <c r="AA388" i="1"/>
  <c r="AA394" i="1"/>
  <c r="V69" i="170"/>
  <c r="W13" i="170"/>
  <c r="W315" i="170"/>
  <c r="N130" i="170"/>
  <c r="P130" i="170" s="1"/>
  <c r="AN280" i="1" s="1"/>
  <c r="V12" i="170"/>
  <c r="O32" i="170"/>
  <c r="W32" i="170" s="1"/>
  <c r="N33" i="170"/>
  <c r="U33" i="170" s="1"/>
  <c r="R33" i="170" s="1"/>
  <c r="O232" i="170"/>
  <c r="N198" i="170"/>
  <c r="U198" i="170" s="1"/>
  <c r="O133" i="170"/>
  <c r="V133" i="170" s="1"/>
  <c r="O72" i="170"/>
  <c r="W72" i="170" s="1"/>
  <c r="O5" i="170"/>
  <c r="V5" i="170" s="1"/>
  <c r="U377" i="170"/>
  <c r="V130" i="170"/>
  <c r="V33" i="170"/>
  <c r="O198" i="170"/>
  <c r="V198" i="170" s="1"/>
  <c r="N12" i="170"/>
  <c r="T12" i="170" s="1"/>
  <c r="N133" i="170"/>
  <c r="T133" i="170" s="1"/>
  <c r="O34" i="170"/>
  <c r="V233" i="170"/>
  <c r="O377" i="170"/>
  <c r="W377" i="170" s="1"/>
  <c r="O156" i="170"/>
  <c r="V156" i="170" s="1"/>
  <c r="N72" i="170"/>
  <c r="T72" i="170" s="1"/>
  <c r="V155" i="170"/>
  <c r="N232" i="170"/>
  <c r="W81" i="170"/>
  <c r="W93" i="170"/>
  <c r="V93" i="170"/>
  <c r="AL66" i="1"/>
  <c r="AJ66" i="1"/>
  <c r="AL273" i="1"/>
  <c r="AJ273" i="1"/>
  <c r="AL132" i="1"/>
  <c r="AJ132" i="1"/>
  <c r="AL37" i="1"/>
  <c r="AJ37" i="1"/>
  <c r="AL182" i="1"/>
  <c r="AJ182" i="1"/>
  <c r="AL186" i="1"/>
  <c r="AJ186" i="1"/>
  <c r="AM384" i="1"/>
  <c r="AK384" i="1"/>
  <c r="AL277" i="1"/>
  <c r="AJ277" i="1"/>
  <c r="AL207" i="1"/>
  <c r="AJ207" i="1"/>
  <c r="AL77" i="1"/>
  <c r="AJ77" i="1"/>
  <c r="AL164" i="1"/>
  <c r="AJ164" i="1"/>
  <c r="AL149" i="1"/>
  <c r="AJ149" i="1"/>
  <c r="AL160" i="1"/>
  <c r="AJ160" i="1"/>
  <c r="AL326" i="1"/>
  <c r="AJ326" i="1"/>
  <c r="AL92" i="1"/>
  <c r="AJ92" i="1"/>
  <c r="AL247" i="1"/>
  <c r="AJ247" i="1"/>
  <c r="AL72" i="1"/>
  <c r="AJ72" i="1"/>
  <c r="AL29" i="1"/>
  <c r="AJ29" i="1"/>
  <c r="AL390" i="1"/>
  <c r="AJ390" i="1"/>
  <c r="AL213" i="1"/>
  <c r="AJ213" i="1"/>
  <c r="AM229" i="1"/>
  <c r="AK229" i="1"/>
  <c r="AL148" i="1"/>
  <c r="AJ148" i="1"/>
  <c r="AL82" i="1"/>
  <c r="AJ82" i="1"/>
  <c r="AL224" i="1"/>
  <c r="AJ224" i="1"/>
  <c r="AL250" i="1"/>
  <c r="AJ250" i="1"/>
  <c r="AL220" i="1"/>
  <c r="AJ220" i="1"/>
  <c r="AL257" i="1"/>
  <c r="AJ257" i="1"/>
  <c r="AL22" i="1"/>
  <c r="AJ22" i="1"/>
  <c r="AL389" i="1"/>
  <c r="AJ389" i="1"/>
  <c r="AL275" i="1"/>
  <c r="AJ275" i="1"/>
  <c r="AM181" i="1"/>
  <c r="AK181" i="1"/>
  <c r="AL368" i="1"/>
  <c r="AJ368" i="1"/>
  <c r="AL158" i="1"/>
  <c r="AJ158" i="1"/>
  <c r="AL115" i="1"/>
  <c r="AJ115" i="1"/>
  <c r="AL101" i="1"/>
  <c r="AJ101" i="1"/>
  <c r="AL218" i="1"/>
  <c r="AJ218" i="1"/>
  <c r="AL97" i="1"/>
  <c r="AJ97" i="1"/>
  <c r="AL327" i="1"/>
  <c r="AJ327" i="1"/>
  <c r="AL392" i="1"/>
  <c r="AJ392" i="1"/>
  <c r="AL314" i="1"/>
  <c r="AJ314" i="1"/>
  <c r="AM225" i="1"/>
  <c r="AK225" i="1"/>
  <c r="AM396" i="1"/>
  <c r="AK396" i="1"/>
  <c r="AL269" i="1"/>
  <c r="AJ269" i="1"/>
  <c r="AL263" i="1"/>
  <c r="AJ263" i="1"/>
  <c r="AL146" i="1"/>
  <c r="AJ146" i="1"/>
  <c r="AL104" i="1"/>
  <c r="AJ104" i="1"/>
  <c r="AL78" i="1"/>
  <c r="AJ78" i="1"/>
  <c r="AL208" i="1"/>
  <c r="AJ208" i="1"/>
  <c r="AL73" i="1"/>
  <c r="AJ73" i="1"/>
  <c r="AL216" i="1"/>
  <c r="AJ216" i="1"/>
  <c r="AL384" i="1"/>
  <c r="AJ384" i="1"/>
  <c r="AL288" i="1"/>
  <c r="AJ288" i="1"/>
  <c r="AM222" i="1"/>
  <c r="AK222" i="1"/>
  <c r="AL155" i="1"/>
  <c r="AJ155" i="1"/>
  <c r="AL27" i="1"/>
  <c r="AJ27" i="1"/>
  <c r="AL376" i="1"/>
  <c r="AJ376" i="1"/>
  <c r="AL94" i="1"/>
  <c r="AJ94" i="1"/>
  <c r="AL221" i="1"/>
  <c r="AJ221" i="1"/>
  <c r="AL96" i="1"/>
  <c r="AJ96" i="1"/>
  <c r="AL33" i="1"/>
  <c r="AJ33" i="1"/>
  <c r="AL157" i="1"/>
  <c r="AJ157" i="1"/>
  <c r="AL162" i="1"/>
  <c r="AJ162" i="1"/>
  <c r="AM392" i="1"/>
  <c r="AK392" i="1"/>
  <c r="AM269" i="1"/>
  <c r="AK269" i="1"/>
  <c r="AL206" i="1"/>
  <c r="AJ206" i="1"/>
  <c r="AL25" i="1"/>
  <c r="AJ25" i="1"/>
  <c r="AL312" i="1"/>
  <c r="AJ312" i="1"/>
  <c r="AL325" i="1"/>
  <c r="AJ325" i="1"/>
  <c r="AL110" i="1"/>
  <c r="AJ110" i="1"/>
  <c r="AL71" i="1"/>
  <c r="AJ71" i="1"/>
  <c r="AL259" i="1"/>
  <c r="AJ259" i="1"/>
  <c r="AL330" i="1"/>
  <c r="AJ330" i="1"/>
  <c r="AL357" i="1"/>
  <c r="AJ357" i="1"/>
  <c r="AM389" i="1"/>
  <c r="AK389" i="1"/>
  <c r="AM155" i="1"/>
  <c r="AK155" i="1"/>
  <c r="AL170" i="1"/>
  <c r="AJ170" i="1"/>
  <c r="AL152" i="1"/>
  <c r="AJ152" i="1"/>
  <c r="AL226" i="1"/>
  <c r="AJ226" i="1"/>
  <c r="AL317" i="1"/>
  <c r="AJ317" i="1"/>
  <c r="AL100" i="1"/>
  <c r="AJ100" i="1"/>
  <c r="AL93" i="1"/>
  <c r="AJ93" i="1"/>
  <c r="AL362" i="1"/>
  <c r="AJ362" i="1"/>
  <c r="AL183" i="1"/>
  <c r="AJ183" i="1"/>
  <c r="AL80" i="1"/>
  <c r="AJ80" i="1"/>
  <c r="AM390" i="1"/>
  <c r="AK390" i="1"/>
  <c r="AI102" i="1"/>
  <c r="AI74" i="1"/>
  <c r="AI251" i="1"/>
  <c r="AI184" i="1"/>
  <c r="AI185" i="1"/>
  <c r="AI154" i="1"/>
  <c r="AI227" i="1"/>
  <c r="AI47" i="1"/>
  <c r="AI60" i="1"/>
  <c r="AI179" i="1"/>
  <c r="AI253" i="1"/>
  <c r="AI153" i="1"/>
  <c r="AI152" i="1"/>
  <c r="AI273" i="1"/>
  <c r="AH200" i="1"/>
  <c r="AH274" i="1"/>
  <c r="AH363" i="1"/>
  <c r="AH214" i="1"/>
  <c r="AH41" i="1"/>
  <c r="AH89" i="1"/>
  <c r="AH209" i="1"/>
  <c r="AH249" i="1"/>
  <c r="AH34" i="1"/>
  <c r="AH42" i="1"/>
  <c r="AH111" i="1"/>
  <c r="AH40" i="1"/>
  <c r="AH31" i="1"/>
  <c r="AH43" i="1"/>
  <c r="AH88" i="1"/>
  <c r="AH107" i="1"/>
  <c r="AH108" i="1"/>
  <c r="AH118" i="1"/>
  <c r="AH210" i="1"/>
  <c r="AH219" i="1"/>
  <c r="AH246" i="1"/>
  <c r="AH385" i="1"/>
  <c r="AH99" i="1"/>
  <c r="AH109" i="1"/>
  <c r="AH211" i="1"/>
  <c r="AH354" i="1"/>
  <c r="AH90" i="1"/>
  <c r="AH120" i="1"/>
  <c r="AH212" i="1"/>
  <c r="AH248" i="1"/>
  <c r="AH291" i="1"/>
  <c r="AH299" i="1"/>
  <c r="AH91" i="1"/>
  <c r="AH112" i="1"/>
  <c r="AH223" i="1"/>
  <c r="AH95" i="1"/>
  <c r="AH106" i="1"/>
  <c r="AH116" i="1"/>
  <c r="AH23" i="1"/>
  <c r="AH24" i="1"/>
  <c r="AH255" i="1"/>
  <c r="AH353" i="1"/>
  <c r="AH256" i="1"/>
  <c r="AH370" i="1"/>
  <c r="AH258" i="1"/>
  <c r="AH374" i="1"/>
  <c r="AH39" i="1"/>
  <c r="AH266" i="1"/>
  <c r="AH350" i="1"/>
  <c r="AH254" i="1"/>
  <c r="AH98" i="1"/>
  <c r="AH228" i="1"/>
  <c r="AH192" i="1"/>
  <c r="AH133" i="1"/>
  <c r="AH278" i="1"/>
  <c r="AH244" i="1"/>
  <c r="AH271" i="1"/>
  <c r="AH225" i="1"/>
  <c r="AH181" i="1"/>
  <c r="AH229" i="1"/>
  <c r="AH222" i="1"/>
  <c r="AH52" i="1"/>
  <c r="AH61" i="1"/>
  <c r="AH79" i="1"/>
  <c r="AH119" i="1"/>
  <c r="AH202" i="1"/>
  <c r="AH323" i="1"/>
  <c r="AH103" i="1"/>
  <c r="AH123" i="1"/>
  <c r="AH159" i="1"/>
  <c r="AH124" i="1"/>
  <c r="AH125" i="1"/>
  <c r="AH102" i="1"/>
  <c r="AH74" i="1"/>
  <c r="AH251" i="1"/>
  <c r="AH297" i="1"/>
  <c r="AH131" i="1"/>
  <c r="AH311" i="1"/>
  <c r="AH121" i="1"/>
  <c r="AH32" i="1"/>
  <c r="AH58" i="1"/>
  <c r="AH59" i="1"/>
  <c r="AH114" i="1"/>
  <c r="AH65" i="1"/>
  <c r="AH105" i="1"/>
  <c r="AH241" i="1"/>
  <c r="AH63" i="1"/>
  <c r="AH75" i="1"/>
  <c r="AH68" i="1"/>
  <c r="AH70" i="1"/>
  <c r="AH117" i="1"/>
  <c r="AH126" i="1"/>
  <c r="AH236" i="1"/>
  <c r="AH53" i="1"/>
  <c r="AH237" i="1"/>
  <c r="AH361" i="1"/>
  <c r="AH239" i="1"/>
  <c r="AH62" i="1"/>
  <c r="AH122" i="1"/>
  <c r="AH268" i="1"/>
  <c r="AH64" i="1"/>
  <c r="AH67" i="1"/>
  <c r="AH69" i="1"/>
  <c r="AH46" i="1"/>
  <c r="AH84" i="1"/>
  <c r="AH51" i="1"/>
  <c r="AH135" i="1"/>
  <c r="AH272" i="1"/>
  <c r="AH352" i="1"/>
  <c r="AH289" i="1"/>
  <c r="AH267" i="1"/>
  <c r="AH315" i="1"/>
  <c r="AH364" i="1"/>
  <c r="AH142" i="1"/>
  <c r="AH270" i="1"/>
  <c r="AH143" i="1"/>
  <c r="AH201" i="1"/>
  <c r="AH265" i="1"/>
  <c r="AH190" i="1"/>
  <c r="AH199" i="1"/>
  <c r="AH86" i="1"/>
  <c r="AH136" i="1"/>
  <c r="AH264" i="1"/>
  <c r="AH369" i="1"/>
  <c r="AH138" i="1"/>
  <c r="AH282" i="1"/>
  <c r="AH139" i="1"/>
  <c r="AH379" i="1"/>
  <c r="AH140" i="1"/>
  <c r="AH231" i="1"/>
  <c r="AH340" i="1"/>
  <c r="AH380" i="1"/>
  <c r="AH141" i="1"/>
  <c r="AH358" i="1"/>
  <c r="AH366" i="1"/>
  <c r="AH262" i="1"/>
  <c r="AH335" i="1"/>
  <c r="AH343" i="1"/>
  <c r="AH185" i="1"/>
  <c r="AH154" i="1"/>
  <c r="AH227" i="1"/>
  <c r="AH184" i="1"/>
  <c r="AH153" i="1"/>
  <c r="AH47" i="1"/>
  <c r="AH60" i="1"/>
  <c r="AH179" i="1"/>
  <c r="AH253" i="1"/>
  <c r="AH38" i="1"/>
  <c r="AH336" i="1"/>
  <c r="AH281" i="1"/>
  <c r="AH338" i="1"/>
  <c r="AH339" i="1"/>
  <c r="AH243" i="1"/>
  <c r="AH342" i="1"/>
  <c r="AH189" i="1"/>
  <c r="AH81" i="1"/>
  <c r="AH30" i="1"/>
  <c r="AH85" i="1"/>
  <c r="AH163" i="1"/>
  <c r="AH360" i="1"/>
  <c r="AH347" i="1"/>
  <c r="AH348" i="1"/>
  <c r="AH168" i="1"/>
  <c r="AH83" i="1"/>
  <c r="AH279" i="1"/>
  <c r="AH12" i="1"/>
  <c r="N59" i="71"/>
  <c r="P26" i="139"/>
  <c r="Q26" i="139"/>
  <c r="R26" i="139" s="1"/>
  <c r="P18" i="139"/>
  <c r="Q18" i="139"/>
  <c r="R18" i="139" s="1"/>
  <c r="R57" i="139"/>
  <c r="J43" i="139"/>
  <c r="K43" i="139" s="1"/>
  <c r="J38" i="139"/>
  <c r="K38" i="139" s="1"/>
  <c r="AH11" i="1" s="1"/>
  <c r="J19" i="139"/>
  <c r="K19" i="139" s="1"/>
  <c r="J30" i="139"/>
  <c r="K30" i="139" s="1"/>
  <c r="I30" i="139"/>
  <c r="J24" i="139"/>
  <c r="K24" i="139" s="1"/>
  <c r="I24" i="139"/>
  <c r="O2" i="139"/>
  <c r="R9" i="139"/>
  <c r="AI391" i="1" s="1"/>
  <c r="H2" i="139"/>
  <c r="AG4" i="1"/>
  <c r="P56" i="139"/>
  <c r="P46" i="139"/>
  <c r="P23" i="139"/>
  <c r="P52" i="139"/>
  <c r="P40" i="139"/>
  <c r="P14" i="139"/>
  <c r="P55" i="139"/>
  <c r="P53" i="139"/>
  <c r="P51" i="139"/>
  <c r="P60" i="139"/>
  <c r="P42" i="139"/>
  <c r="P48" i="139"/>
  <c r="P50" i="139"/>
  <c r="P29" i="139"/>
  <c r="P21" i="139"/>
  <c r="P22" i="139"/>
  <c r="P44" i="139"/>
  <c r="P58" i="139"/>
  <c r="P49" i="139"/>
  <c r="P59" i="139"/>
  <c r="P39" i="139"/>
  <c r="AB10" i="1"/>
  <c r="AA390" i="1" l="1"/>
  <c r="Z93" i="1"/>
  <c r="Z152" i="1"/>
  <c r="Z357" i="1"/>
  <c r="Z110" i="1"/>
  <c r="Z206" i="1"/>
  <c r="Z157" i="1"/>
  <c r="Z94" i="1"/>
  <c r="AA222" i="1"/>
  <c r="Z73" i="1"/>
  <c r="Z146" i="1"/>
  <c r="AA225" i="1"/>
  <c r="Z97" i="1"/>
  <c r="Z158" i="1"/>
  <c r="Z389" i="1"/>
  <c r="Z250" i="1"/>
  <c r="AA229" i="1"/>
  <c r="Z72" i="1"/>
  <c r="Z160" i="1"/>
  <c r="Z207" i="1"/>
  <c r="Z182" i="1"/>
  <c r="Z66" i="1"/>
  <c r="Z80" i="1"/>
  <c r="Z100" i="1"/>
  <c r="Z170" i="1"/>
  <c r="Z330" i="1"/>
  <c r="Z325" i="1"/>
  <c r="AA269" i="1"/>
  <c r="Z33" i="1"/>
  <c r="Z376" i="1"/>
  <c r="Z288" i="1"/>
  <c r="Z208" i="1"/>
  <c r="Z263" i="1"/>
  <c r="Z314" i="1"/>
  <c r="Z218" i="1"/>
  <c r="Z368" i="1"/>
  <c r="Z22" i="1"/>
  <c r="Z224" i="1"/>
  <c r="Z213" i="1"/>
  <c r="Z247" i="1"/>
  <c r="Z149" i="1"/>
  <c r="Z277" i="1"/>
  <c r="Z37" i="1"/>
  <c r="Z183" i="1"/>
  <c r="Z317" i="1"/>
  <c r="AA155" i="1"/>
  <c r="Z259" i="1"/>
  <c r="Z312" i="1"/>
  <c r="AA392" i="1"/>
  <c r="Z96" i="1"/>
  <c r="Z27" i="1"/>
  <c r="Z384" i="1"/>
  <c r="Z78" i="1"/>
  <c r="Z269" i="1"/>
  <c r="Z392" i="1"/>
  <c r="Z101" i="1"/>
  <c r="AA181" i="1"/>
  <c r="Z257" i="1"/>
  <c r="Z82" i="1"/>
  <c r="Z390" i="1"/>
  <c r="Z92" i="1"/>
  <c r="Z164" i="1"/>
  <c r="AA384" i="1"/>
  <c r="Z132" i="1"/>
  <c r="Z362" i="1"/>
  <c r="Z226" i="1"/>
  <c r="AA389" i="1"/>
  <c r="Z71" i="1"/>
  <c r="Z25" i="1"/>
  <c r="Z162" i="1"/>
  <c r="Z221" i="1"/>
  <c r="Z155" i="1"/>
  <c r="Z216" i="1"/>
  <c r="Z104" i="1"/>
  <c r="AA396" i="1"/>
  <c r="Z327" i="1"/>
  <c r="Z115" i="1"/>
  <c r="Z275" i="1"/>
  <c r="Z220" i="1"/>
  <c r="Z148" i="1"/>
  <c r="Z29" i="1"/>
  <c r="Z326" i="1"/>
  <c r="Z77" i="1"/>
  <c r="Z186" i="1"/>
  <c r="Z273" i="1"/>
  <c r="Q12" i="170"/>
  <c r="Q133" i="170"/>
  <c r="X377" i="170"/>
  <c r="P12" i="170"/>
  <c r="AN395" i="1" s="1"/>
  <c r="T198" i="170"/>
  <c r="Q198" i="170" s="1"/>
  <c r="U130" i="170"/>
  <c r="R130" i="170" s="1"/>
  <c r="V32" i="170"/>
  <c r="W133" i="170"/>
  <c r="W156" i="170"/>
  <c r="U12" i="170"/>
  <c r="S12" i="170" s="1"/>
  <c r="AO395" i="1" s="1"/>
  <c r="U72" i="170"/>
  <c r="R72" i="170" s="1"/>
  <c r="R377" i="170"/>
  <c r="P198" i="170"/>
  <c r="AN398" i="1" s="1"/>
  <c r="W198" i="170"/>
  <c r="N303" i="170"/>
  <c r="U303" i="170" s="1"/>
  <c r="O346" i="170"/>
  <c r="W346" i="170" s="1"/>
  <c r="O165" i="170"/>
  <c r="W165" i="170" s="1"/>
  <c r="O305" i="170"/>
  <c r="W305" i="170" s="1"/>
  <c r="O348" i="170"/>
  <c r="O71" i="170"/>
  <c r="O302" i="170"/>
  <c r="O350" i="170"/>
  <c r="N29" i="170"/>
  <c r="O361" i="170"/>
  <c r="O167" i="170"/>
  <c r="P377" i="170"/>
  <c r="AN381" i="1" s="1"/>
  <c r="V72" i="170"/>
  <c r="W232" i="170"/>
  <c r="V232" i="170"/>
  <c r="X33" i="170"/>
  <c r="N304" i="170"/>
  <c r="U304" i="170" s="1"/>
  <c r="O334" i="170"/>
  <c r="O173" i="170"/>
  <c r="O333" i="170"/>
  <c r="O357" i="170"/>
  <c r="O70" i="170"/>
  <c r="O304" i="170"/>
  <c r="O340" i="170"/>
  <c r="O324" i="170"/>
  <c r="N305" i="170"/>
  <c r="O349" i="170"/>
  <c r="P133" i="170"/>
  <c r="AN393" i="1" s="1"/>
  <c r="O332" i="170"/>
  <c r="W332" i="170" s="1"/>
  <c r="O163" i="170"/>
  <c r="O9" i="170"/>
  <c r="N13" i="170"/>
  <c r="O153" i="170"/>
  <c r="O132" i="170"/>
  <c r="V132" i="170" s="1"/>
  <c r="O337" i="170"/>
  <c r="O160" i="170"/>
  <c r="V160" i="170" s="1"/>
  <c r="O11" i="170"/>
  <c r="W11" i="170" s="1"/>
  <c r="O343" i="170"/>
  <c r="P72" i="170"/>
  <c r="AN388" i="1" s="1"/>
  <c r="O322" i="170"/>
  <c r="O347" i="170"/>
  <c r="O338" i="170"/>
  <c r="W338" i="170" s="1"/>
  <c r="O131" i="170"/>
  <c r="V131" i="170" s="1"/>
  <c r="O172" i="170"/>
  <c r="W172" i="170" s="1"/>
  <c r="T33" i="170"/>
  <c r="S33" i="170" s="1"/>
  <c r="AO397" i="1" s="1"/>
  <c r="W5" i="170"/>
  <c r="T232" i="170"/>
  <c r="U232" i="170"/>
  <c r="O336" i="170"/>
  <c r="O358" i="170"/>
  <c r="O10" i="170"/>
  <c r="O342" i="170"/>
  <c r="O345" i="170"/>
  <c r="O159" i="170"/>
  <c r="V377" i="170"/>
  <c r="O27" i="170"/>
  <c r="W27" i="170" s="1"/>
  <c r="O335" i="170"/>
  <c r="W335" i="170" s="1"/>
  <c r="N30" i="170"/>
  <c r="U30" i="170" s="1"/>
  <c r="O352" i="170"/>
  <c r="W352" i="170" s="1"/>
  <c r="O171" i="170"/>
  <c r="W171" i="170" s="1"/>
  <c r="N31" i="170"/>
  <c r="U31" i="170" s="1"/>
  <c r="O363" i="170"/>
  <c r="O166" i="170"/>
  <c r="O303" i="170"/>
  <c r="W303" i="170" s="1"/>
  <c r="O351" i="170"/>
  <c r="W351" i="170" s="1"/>
  <c r="O26" i="170"/>
  <c r="W26" i="170" s="1"/>
  <c r="O341" i="170"/>
  <c r="V341" i="170" s="1"/>
  <c r="N71" i="170"/>
  <c r="U71" i="170" s="1"/>
  <c r="O364" i="170"/>
  <c r="W364" i="170" s="1"/>
  <c r="O170" i="170"/>
  <c r="V170" i="170" s="1"/>
  <c r="N28" i="170"/>
  <c r="T28" i="170" s="1"/>
  <c r="O353" i="170"/>
  <c r="O169" i="170"/>
  <c r="V169" i="170" s="1"/>
  <c r="O355" i="170"/>
  <c r="V355" i="170" s="1"/>
  <c r="O25" i="170"/>
  <c r="W25" i="170" s="1"/>
  <c r="O365" i="170"/>
  <c r="W365" i="170" s="1"/>
  <c r="U133" i="170"/>
  <c r="T130" i="170"/>
  <c r="V34" i="170"/>
  <c r="W34" i="170"/>
  <c r="N70" i="170"/>
  <c r="T70" i="170" s="1"/>
  <c r="O325" i="170"/>
  <c r="V325" i="170" s="1"/>
  <c r="O168" i="170"/>
  <c r="V168" i="170" s="1"/>
  <c r="O154" i="170"/>
  <c r="O360" i="170"/>
  <c r="O164" i="170"/>
  <c r="O152" i="170"/>
  <c r="O339" i="170"/>
  <c r="O162" i="170"/>
  <c r="O323" i="170"/>
  <c r="O344" i="170"/>
  <c r="P33" i="170"/>
  <c r="AN397" i="1" s="1"/>
  <c r="P232" i="170"/>
  <c r="AN394" i="1" s="1"/>
  <c r="O326" i="170"/>
  <c r="W326" i="170" s="1"/>
  <c r="O362" i="170"/>
  <c r="V362" i="170" s="1"/>
  <c r="N302" i="170"/>
  <c r="O356" i="170"/>
  <c r="W356" i="170" s="1"/>
  <c r="O158" i="170"/>
  <c r="O151" i="170"/>
  <c r="V151" i="170" s="1"/>
  <c r="O354" i="170"/>
  <c r="W354" i="170" s="1"/>
  <c r="O157" i="170"/>
  <c r="O161" i="170"/>
  <c r="W161" i="170" s="1"/>
  <c r="O359" i="170"/>
  <c r="W359" i="170" s="1"/>
  <c r="V335" i="170"/>
  <c r="AL358" i="1"/>
  <c r="AJ358" i="1"/>
  <c r="AL282" i="1"/>
  <c r="AJ282" i="1"/>
  <c r="AL265" i="1"/>
  <c r="AJ265" i="1"/>
  <c r="AL289" i="1"/>
  <c r="AJ289" i="1"/>
  <c r="AL67" i="1"/>
  <c r="AJ67" i="1"/>
  <c r="AL53" i="1"/>
  <c r="AJ53" i="1"/>
  <c r="AL241" i="1"/>
  <c r="AJ241" i="1"/>
  <c r="AL311" i="1"/>
  <c r="AJ311" i="1"/>
  <c r="AL159" i="1"/>
  <c r="AJ159" i="1"/>
  <c r="AL52" i="1"/>
  <c r="AJ52" i="1"/>
  <c r="AL133" i="1"/>
  <c r="AJ133" i="1"/>
  <c r="AL374" i="1"/>
  <c r="AJ374" i="1"/>
  <c r="AL116" i="1"/>
  <c r="AJ116" i="1"/>
  <c r="AL248" i="1"/>
  <c r="AJ248" i="1"/>
  <c r="AL385" i="1"/>
  <c r="AJ385" i="1"/>
  <c r="AL43" i="1"/>
  <c r="AJ43" i="1"/>
  <c r="AL89" i="1"/>
  <c r="AJ89" i="1"/>
  <c r="AM153" i="1"/>
  <c r="AK153" i="1"/>
  <c r="AM184" i="1"/>
  <c r="AK184" i="1"/>
  <c r="AL30" i="1"/>
  <c r="AJ30" i="1"/>
  <c r="AL227" i="1"/>
  <c r="AJ227" i="1"/>
  <c r="AL138" i="1"/>
  <c r="AJ138" i="1"/>
  <c r="AL352" i="1"/>
  <c r="AJ352" i="1"/>
  <c r="AL64" i="1"/>
  <c r="AJ64" i="1"/>
  <c r="AL236" i="1"/>
  <c r="AJ236" i="1"/>
  <c r="AL105" i="1"/>
  <c r="AJ105" i="1"/>
  <c r="AL131" i="1"/>
  <c r="AJ131" i="1"/>
  <c r="AL123" i="1"/>
  <c r="AJ123" i="1"/>
  <c r="AL222" i="1"/>
  <c r="AJ222" i="1"/>
  <c r="AL192" i="1"/>
  <c r="AJ192" i="1"/>
  <c r="AL258" i="1"/>
  <c r="AJ258" i="1"/>
  <c r="AL106" i="1"/>
  <c r="AJ106" i="1"/>
  <c r="AL212" i="1"/>
  <c r="AJ212" i="1"/>
  <c r="AL246" i="1"/>
  <c r="AJ246" i="1"/>
  <c r="AL31" i="1"/>
  <c r="AJ31" i="1"/>
  <c r="AL41" i="1"/>
  <c r="AJ41" i="1"/>
  <c r="AM253" i="1"/>
  <c r="AK253" i="1"/>
  <c r="AM251" i="1"/>
  <c r="AK251" i="1"/>
  <c r="AL85" i="1"/>
  <c r="AJ85" i="1"/>
  <c r="AL184" i="1"/>
  <c r="AJ184" i="1"/>
  <c r="AL336" i="1"/>
  <c r="AJ336" i="1"/>
  <c r="AL141" i="1"/>
  <c r="AJ141" i="1"/>
  <c r="AL201" i="1"/>
  <c r="AJ201" i="1"/>
  <c r="AL83" i="1"/>
  <c r="AJ83" i="1"/>
  <c r="AL81" i="1"/>
  <c r="AJ81" i="1"/>
  <c r="AL38" i="1"/>
  <c r="AJ38" i="1"/>
  <c r="AL154" i="1"/>
  <c r="AJ154" i="1"/>
  <c r="AL380" i="1"/>
  <c r="AJ380" i="1"/>
  <c r="AL369" i="1"/>
  <c r="AJ369" i="1"/>
  <c r="AL143" i="1"/>
  <c r="AJ143" i="1"/>
  <c r="AL272" i="1"/>
  <c r="AJ272" i="1"/>
  <c r="AL268" i="1"/>
  <c r="AJ268" i="1"/>
  <c r="AL126" i="1"/>
  <c r="AJ126" i="1"/>
  <c r="AL65" i="1"/>
  <c r="AJ65" i="1"/>
  <c r="AL297" i="1"/>
  <c r="AJ297" i="1"/>
  <c r="AL103" i="1"/>
  <c r="AJ103" i="1"/>
  <c r="AL229" i="1"/>
  <c r="AJ229" i="1"/>
  <c r="AL228" i="1"/>
  <c r="AJ228" i="1"/>
  <c r="AL370" i="1"/>
  <c r="AJ370" i="1"/>
  <c r="AL95" i="1"/>
  <c r="AJ95" i="1"/>
  <c r="AL120" i="1"/>
  <c r="AJ120" i="1"/>
  <c r="AL219" i="1"/>
  <c r="AJ219" i="1"/>
  <c r="AL40" i="1"/>
  <c r="AJ40" i="1"/>
  <c r="AL214" i="1"/>
  <c r="AJ214" i="1"/>
  <c r="AM179" i="1"/>
  <c r="AK179" i="1"/>
  <c r="AM74" i="1"/>
  <c r="AK74" i="1"/>
  <c r="AL281" i="1"/>
  <c r="AJ281" i="1"/>
  <c r="AL168" i="1"/>
  <c r="AJ168" i="1"/>
  <c r="AL253" i="1"/>
  <c r="AJ253" i="1"/>
  <c r="AL185" i="1"/>
  <c r="AJ185" i="1"/>
  <c r="AL340" i="1"/>
  <c r="AJ340" i="1"/>
  <c r="AL264" i="1"/>
  <c r="AJ264" i="1"/>
  <c r="AL270" i="1"/>
  <c r="AJ270" i="1"/>
  <c r="AL135" i="1"/>
  <c r="AJ135" i="1"/>
  <c r="AL122" i="1"/>
  <c r="AJ122" i="1"/>
  <c r="AL117" i="1"/>
  <c r="AJ117" i="1"/>
  <c r="AL114" i="1"/>
  <c r="AJ114" i="1"/>
  <c r="AL251" i="1"/>
  <c r="AJ251" i="1"/>
  <c r="AL323" i="1"/>
  <c r="AJ323" i="1"/>
  <c r="AL181" i="1"/>
  <c r="AJ181" i="1"/>
  <c r="AL98" i="1"/>
  <c r="AJ98" i="1"/>
  <c r="AL256" i="1"/>
  <c r="AJ256" i="1"/>
  <c r="AL223" i="1"/>
  <c r="AJ223" i="1"/>
  <c r="AL90" i="1"/>
  <c r="AJ90" i="1"/>
  <c r="AL210" i="1"/>
  <c r="AJ210" i="1"/>
  <c r="AL111" i="1"/>
  <c r="AJ111" i="1"/>
  <c r="AL363" i="1"/>
  <c r="AJ363" i="1"/>
  <c r="AM60" i="1"/>
  <c r="AK60" i="1"/>
  <c r="AM102" i="1"/>
  <c r="AK102" i="1"/>
  <c r="AL347" i="1"/>
  <c r="AJ347" i="1"/>
  <c r="AM391" i="1"/>
  <c r="AK391" i="1"/>
  <c r="AL279" i="1"/>
  <c r="AJ279" i="1"/>
  <c r="AL189" i="1"/>
  <c r="AJ189" i="1"/>
  <c r="AL348" i="1"/>
  <c r="AJ348" i="1"/>
  <c r="AL342" i="1"/>
  <c r="AJ342" i="1"/>
  <c r="AL179" i="1"/>
  <c r="AJ179" i="1"/>
  <c r="AL343" i="1"/>
  <c r="AJ343" i="1"/>
  <c r="AL231" i="1"/>
  <c r="AJ231" i="1"/>
  <c r="AL136" i="1"/>
  <c r="AJ136" i="1"/>
  <c r="AL142" i="1"/>
  <c r="AJ142" i="1"/>
  <c r="AL51" i="1"/>
  <c r="AJ51" i="1"/>
  <c r="AL62" i="1"/>
  <c r="AJ62" i="1"/>
  <c r="AL70" i="1"/>
  <c r="AJ70" i="1"/>
  <c r="AL59" i="1"/>
  <c r="AJ59" i="1"/>
  <c r="AL74" i="1"/>
  <c r="AJ74" i="1"/>
  <c r="AL202" i="1"/>
  <c r="AJ202" i="1"/>
  <c r="AL225" i="1"/>
  <c r="AJ225" i="1"/>
  <c r="AL254" i="1"/>
  <c r="AJ254" i="1"/>
  <c r="AL353" i="1"/>
  <c r="AJ353" i="1"/>
  <c r="AL112" i="1"/>
  <c r="AJ112" i="1"/>
  <c r="AL354" i="1"/>
  <c r="AJ354" i="1"/>
  <c r="AL118" i="1"/>
  <c r="AJ118" i="1"/>
  <c r="AL42" i="1"/>
  <c r="AJ42" i="1"/>
  <c r="AL274" i="1"/>
  <c r="AJ274" i="1"/>
  <c r="AM47" i="1"/>
  <c r="AK47" i="1"/>
  <c r="AL243" i="1"/>
  <c r="AJ243" i="1"/>
  <c r="AL60" i="1"/>
  <c r="AJ60" i="1"/>
  <c r="AL335" i="1"/>
  <c r="AJ335" i="1"/>
  <c r="AL140" i="1"/>
  <c r="AJ140" i="1"/>
  <c r="AL86" i="1"/>
  <c r="AJ86" i="1"/>
  <c r="AL364" i="1"/>
  <c r="AJ364" i="1"/>
  <c r="AL84" i="1"/>
  <c r="AJ84" i="1"/>
  <c r="AL239" i="1"/>
  <c r="AJ239" i="1"/>
  <c r="AL68" i="1"/>
  <c r="AJ68" i="1"/>
  <c r="AL58" i="1"/>
  <c r="AJ58" i="1"/>
  <c r="AL102" i="1"/>
  <c r="AJ102" i="1"/>
  <c r="AL119" i="1"/>
  <c r="AJ119" i="1"/>
  <c r="AL271" i="1"/>
  <c r="AJ271" i="1"/>
  <c r="AL350" i="1"/>
  <c r="AJ350" i="1"/>
  <c r="AL255" i="1"/>
  <c r="AJ255" i="1"/>
  <c r="AL91" i="1"/>
  <c r="AJ91" i="1"/>
  <c r="AL211" i="1"/>
  <c r="AJ211" i="1"/>
  <c r="AL108" i="1"/>
  <c r="AJ108" i="1"/>
  <c r="AL34" i="1"/>
  <c r="AJ34" i="1"/>
  <c r="AL200" i="1"/>
  <c r="AJ200" i="1"/>
  <c r="AM227" i="1"/>
  <c r="AK227" i="1"/>
  <c r="AL360" i="1"/>
  <c r="AJ360" i="1"/>
  <c r="AL47" i="1"/>
  <c r="AJ47" i="1"/>
  <c r="AL379" i="1"/>
  <c r="AJ379" i="1"/>
  <c r="AL199" i="1"/>
  <c r="AJ199" i="1"/>
  <c r="AL315" i="1"/>
  <c r="AJ315" i="1"/>
  <c r="AL46" i="1"/>
  <c r="AJ46" i="1"/>
  <c r="AL361" i="1"/>
  <c r="AJ361" i="1"/>
  <c r="AL75" i="1"/>
  <c r="AJ75" i="1"/>
  <c r="AL32" i="1"/>
  <c r="AJ32" i="1"/>
  <c r="AL125" i="1"/>
  <c r="AJ125" i="1"/>
  <c r="AL79" i="1"/>
  <c r="AJ79" i="1"/>
  <c r="AL244" i="1"/>
  <c r="AJ244" i="1"/>
  <c r="AL266" i="1"/>
  <c r="AJ266" i="1"/>
  <c r="AL24" i="1"/>
  <c r="AJ24" i="1"/>
  <c r="AL299" i="1"/>
  <c r="AJ299" i="1"/>
  <c r="AL109" i="1"/>
  <c r="AJ109" i="1"/>
  <c r="AL107" i="1"/>
  <c r="AJ107" i="1"/>
  <c r="AL249" i="1"/>
  <c r="AJ249" i="1"/>
  <c r="AM273" i="1"/>
  <c r="AK273" i="1"/>
  <c r="AM154" i="1"/>
  <c r="AK154" i="1"/>
  <c r="AL339" i="1"/>
  <c r="AJ339" i="1"/>
  <c r="AL262" i="1"/>
  <c r="AJ262" i="1"/>
  <c r="AL163" i="1"/>
  <c r="AJ163" i="1"/>
  <c r="AL338" i="1"/>
  <c r="AJ338" i="1"/>
  <c r="AL153" i="1"/>
  <c r="AJ153" i="1"/>
  <c r="AL366" i="1"/>
  <c r="AJ366" i="1"/>
  <c r="AL139" i="1"/>
  <c r="AJ139" i="1"/>
  <c r="AL190" i="1"/>
  <c r="AJ190" i="1"/>
  <c r="AL267" i="1"/>
  <c r="AJ267" i="1"/>
  <c r="AL69" i="1"/>
  <c r="AJ69" i="1"/>
  <c r="AL237" i="1"/>
  <c r="AJ237" i="1"/>
  <c r="AL63" i="1"/>
  <c r="AJ63" i="1"/>
  <c r="AL121" i="1"/>
  <c r="AJ121" i="1"/>
  <c r="AL124" i="1"/>
  <c r="AJ124" i="1"/>
  <c r="AL61" i="1"/>
  <c r="AJ61" i="1"/>
  <c r="AL278" i="1"/>
  <c r="AJ278" i="1"/>
  <c r="AL39" i="1"/>
  <c r="AJ39" i="1"/>
  <c r="AL23" i="1"/>
  <c r="AJ23" i="1"/>
  <c r="AL291" i="1"/>
  <c r="AJ291" i="1"/>
  <c r="AL99" i="1"/>
  <c r="AJ99" i="1"/>
  <c r="AL88" i="1"/>
  <c r="AJ88" i="1"/>
  <c r="AL209" i="1"/>
  <c r="AJ209" i="1"/>
  <c r="AM152" i="1"/>
  <c r="AK152" i="1"/>
  <c r="AM185" i="1"/>
  <c r="AK185" i="1"/>
  <c r="AI39" i="1"/>
  <c r="AI350" i="1"/>
  <c r="AI266" i="1"/>
  <c r="AI192" i="1"/>
  <c r="AI133" i="1"/>
  <c r="AI254" i="1"/>
  <c r="AI228" i="1"/>
  <c r="AI98" i="1"/>
  <c r="AI244" i="1"/>
  <c r="AI278" i="1"/>
  <c r="AI271" i="1"/>
  <c r="AI357" i="1"/>
  <c r="AI162" i="1"/>
  <c r="AH145" i="1"/>
  <c r="AH161" i="1"/>
  <c r="AH169" i="1"/>
  <c r="AH177" i="1"/>
  <c r="AH144" i="1"/>
  <c r="AH172" i="1"/>
  <c r="AH304" i="1"/>
  <c r="AH173" i="1"/>
  <c r="AH305" i="1"/>
  <c r="AH321" i="1"/>
  <c r="AH165" i="1"/>
  <c r="AH238" i="1"/>
  <c r="AH290" i="1"/>
  <c r="AH306" i="1"/>
  <c r="AH166" i="1"/>
  <c r="AH194" i="1"/>
  <c r="AH230" i="1"/>
  <c r="AH307" i="1"/>
  <c r="AH167" i="1"/>
  <c r="AH176" i="1"/>
  <c r="AH195" i="1"/>
  <c r="AH240" i="1"/>
  <c r="AH308" i="1"/>
  <c r="AH178" i="1"/>
  <c r="AH196" i="1"/>
  <c r="AH232" i="1"/>
  <c r="AH242" i="1"/>
  <c r="AH309" i="1"/>
  <c r="AH197" i="1"/>
  <c r="AH234" i="1"/>
  <c r="AH302" i="1"/>
  <c r="AH171" i="1"/>
  <c r="AH198" i="1"/>
  <c r="AH235" i="1"/>
  <c r="AH303" i="1"/>
  <c r="AH49" i="1"/>
  <c r="AH217" i="1"/>
  <c r="AH35" i="1"/>
  <c r="AH28" i="1"/>
  <c r="AH50" i="1"/>
  <c r="AH345" i="1"/>
  <c r="AH346" i="1"/>
  <c r="AH356" i="1"/>
  <c r="AH260" i="1"/>
  <c r="AH215" i="1"/>
  <c r="AH286" i="1"/>
  <c r="AH9" i="1"/>
  <c r="AH57" i="1"/>
  <c r="AH129" i="1"/>
  <c r="AH137" i="1"/>
  <c r="AH193" i="1"/>
  <c r="AH233" i="1"/>
  <c r="AH44" i="1"/>
  <c r="AH36" i="1"/>
  <c r="AH56" i="1"/>
  <c r="AH48" i="1"/>
  <c r="AH19" i="1"/>
  <c r="AH20" i="1"/>
  <c r="AH296" i="1"/>
  <c r="AH320" i="1"/>
  <c r="AH328" i="1"/>
  <c r="AH344" i="1"/>
  <c r="AH191" i="1"/>
  <c r="AH329" i="1"/>
  <c r="AH337" i="1"/>
  <c r="AH377" i="1"/>
  <c r="AH128" i="1"/>
  <c r="AH174" i="1"/>
  <c r="AH130" i="1"/>
  <c r="AH175" i="1"/>
  <c r="AH283" i="1"/>
  <c r="AH331" i="1"/>
  <c r="AH355" i="1"/>
  <c r="AH387" i="1"/>
  <c r="AH284" i="1"/>
  <c r="AH300" i="1"/>
  <c r="AH332" i="1"/>
  <c r="AH372" i="1"/>
  <c r="AH150" i="1"/>
  <c r="AH285" i="1"/>
  <c r="AH333" i="1"/>
  <c r="AH341" i="1"/>
  <c r="AH349" i="1"/>
  <c r="AH365" i="1"/>
  <c r="AH188" i="1"/>
  <c r="AH294" i="1"/>
  <c r="AH310" i="1"/>
  <c r="AH334" i="1"/>
  <c r="AH382" i="1"/>
  <c r="AH134" i="1"/>
  <c r="AH295" i="1"/>
  <c r="AH359" i="1"/>
  <c r="AH383" i="1"/>
  <c r="AH10" i="1"/>
  <c r="AH113" i="1"/>
  <c r="AH26" i="1"/>
  <c r="AH127" i="1"/>
  <c r="AH313" i="1"/>
  <c r="AH87" i="1"/>
  <c r="AH156" i="1"/>
  <c r="AH298" i="1"/>
  <c r="AH378" i="1"/>
  <c r="AH386" i="1"/>
  <c r="AH203" i="1"/>
  <c r="AH371" i="1"/>
  <c r="AH204" i="1"/>
  <c r="AH324" i="1"/>
  <c r="AH205" i="1"/>
  <c r="AH301" i="1"/>
  <c r="AH151" i="1"/>
  <c r="AH252" i="1"/>
  <c r="AH318" i="1"/>
  <c r="AH180" i="1"/>
  <c r="AH319" i="1"/>
  <c r="AH375" i="1"/>
  <c r="AH45" i="1"/>
  <c r="AH54" i="1"/>
  <c r="AH245" i="1"/>
  <c r="AH55" i="1"/>
  <c r="AH76" i="1"/>
  <c r="AH322" i="1"/>
  <c r="AH276" i="1"/>
  <c r="AH287" i="1"/>
  <c r="AH351" i="1"/>
  <c r="AH17" i="1"/>
  <c r="AH7" i="1"/>
  <c r="AH15" i="1"/>
  <c r="AH16" i="1"/>
  <c r="AH6" i="1"/>
  <c r="AH8" i="1"/>
  <c r="AH18" i="1"/>
  <c r="AH14" i="1"/>
  <c r="R53" i="139"/>
  <c r="AI147" i="1" s="1"/>
  <c r="R58" i="139"/>
  <c r="R29" i="139"/>
  <c r="AI292" i="1" s="1"/>
  <c r="R14" i="139"/>
  <c r="R39" i="139"/>
  <c r="R50" i="139"/>
  <c r="R40" i="139"/>
  <c r="R60" i="139"/>
  <c r="AI66" i="1" s="1"/>
  <c r="R51" i="139"/>
  <c r="R56" i="139"/>
  <c r="R21" i="139"/>
  <c r="R59" i="139"/>
  <c r="AI367" i="1" s="1"/>
  <c r="R52" i="139"/>
  <c r="R22" i="139"/>
  <c r="AI187" i="1" s="1"/>
  <c r="R55" i="139"/>
  <c r="AI21" i="1" s="1"/>
  <c r="R48" i="139"/>
  <c r="AI293" i="1" s="1"/>
  <c r="R49" i="139"/>
  <c r="AI373" i="1" s="1"/>
  <c r="R42" i="139"/>
  <c r="R23" i="139"/>
  <c r="R46" i="139"/>
  <c r="R44" i="139"/>
  <c r="AI316" i="1" s="1"/>
  <c r="P34" i="139"/>
  <c r="P47" i="139"/>
  <c r="P35" i="139"/>
  <c r="P54" i="139"/>
  <c r="P36" i="139"/>
  <c r="P45" i="139"/>
  <c r="P37" i="139"/>
  <c r="P24" i="139"/>
  <c r="P25" i="139"/>
  <c r="P30" i="139"/>
  <c r="P38" i="139"/>
  <c r="P28" i="139"/>
  <c r="P19" i="139"/>
  <c r="P43" i="139"/>
  <c r="Z88" i="1" l="1"/>
  <c r="Z39" i="1"/>
  <c r="Z121" i="1"/>
  <c r="Z267" i="1"/>
  <c r="Z153" i="1"/>
  <c r="Z339" i="1"/>
  <c r="Z107" i="1"/>
  <c r="Z266" i="1"/>
  <c r="Z32" i="1"/>
  <c r="Z315" i="1"/>
  <c r="Z360" i="1"/>
  <c r="Z108" i="1"/>
  <c r="Z350" i="1"/>
  <c r="Z58" i="1"/>
  <c r="Z364" i="1"/>
  <c r="Z60" i="1"/>
  <c r="Z42" i="1"/>
  <c r="Z353" i="1"/>
  <c r="Z74" i="1"/>
  <c r="Z51" i="1"/>
  <c r="Z343" i="1"/>
  <c r="Z189" i="1"/>
  <c r="AA102" i="1"/>
  <c r="Z210" i="1"/>
  <c r="Z98" i="1"/>
  <c r="Z114" i="1"/>
  <c r="Z270" i="1"/>
  <c r="Z253" i="1"/>
  <c r="AA179" i="1"/>
  <c r="Z120" i="1"/>
  <c r="Z229" i="1"/>
  <c r="Z126" i="1"/>
  <c r="Z369" i="1"/>
  <c r="Z81" i="1"/>
  <c r="Z336" i="1"/>
  <c r="AA253" i="1"/>
  <c r="Z212" i="1"/>
  <c r="Z222" i="1"/>
  <c r="Z236" i="1"/>
  <c r="Z227" i="1"/>
  <c r="Z89" i="1"/>
  <c r="Z116" i="1"/>
  <c r="Z159" i="1"/>
  <c r="Z67" i="1"/>
  <c r="Z358" i="1"/>
  <c r="AA185" i="1"/>
  <c r="Z99" i="1"/>
  <c r="Z278" i="1"/>
  <c r="Z63" i="1"/>
  <c r="Z190" i="1"/>
  <c r="Z338" i="1"/>
  <c r="AA154" i="1"/>
  <c r="Z109" i="1"/>
  <c r="Z244" i="1"/>
  <c r="Z75" i="1"/>
  <c r="Z199" i="1"/>
  <c r="AA227" i="1"/>
  <c r="Z211" i="1"/>
  <c r="Z271" i="1"/>
  <c r="Z68" i="1"/>
  <c r="Z86" i="1"/>
  <c r="Z243" i="1"/>
  <c r="Z118" i="1"/>
  <c r="Z254" i="1"/>
  <c r="Z59" i="1"/>
  <c r="Z142" i="1"/>
  <c r="Z179" i="1"/>
  <c r="Z279" i="1"/>
  <c r="AA60" i="1"/>
  <c r="Z90" i="1"/>
  <c r="Z181" i="1"/>
  <c r="Z117" i="1"/>
  <c r="Z264" i="1"/>
  <c r="Z168" i="1"/>
  <c r="Z214" i="1"/>
  <c r="Z95" i="1"/>
  <c r="Z103" i="1"/>
  <c r="Z268" i="1"/>
  <c r="Z380" i="1"/>
  <c r="Z83" i="1"/>
  <c r="Z184" i="1"/>
  <c r="Z41" i="1"/>
  <c r="Z106" i="1"/>
  <c r="Z123" i="1"/>
  <c r="Z64" i="1"/>
  <c r="Z30" i="1"/>
  <c r="Z43" i="1"/>
  <c r="Z374" i="1"/>
  <c r="Z311" i="1"/>
  <c r="Z289" i="1"/>
  <c r="AA152" i="1"/>
  <c r="Z291" i="1"/>
  <c r="Z61" i="1"/>
  <c r="Z237" i="1"/>
  <c r="Z139" i="1"/>
  <c r="Z163" i="1"/>
  <c r="AA273" i="1"/>
  <c r="Z299" i="1"/>
  <c r="Z79" i="1"/>
  <c r="Z361" i="1"/>
  <c r="Z379" i="1"/>
  <c r="Z200" i="1"/>
  <c r="Z91" i="1"/>
  <c r="Z119" i="1"/>
  <c r="Z239" i="1"/>
  <c r="Z140" i="1"/>
  <c r="AA47" i="1"/>
  <c r="Z354" i="1"/>
  <c r="Z225" i="1"/>
  <c r="Z70" i="1"/>
  <c r="Z136" i="1"/>
  <c r="Z342" i="1"/>
  <c r="AA391" i="1"/>
  <c r="Z363" i="1"/>
  <c r="Z223" i="1"/>
  <c r="Z323" i="1"/>
  <c r="Z122" i="1"/>
  <c r="Z340" i="1"/>
  <c r="Z281" i="1"/>
  <c r="Z40" i="1"/>
  <c r="Z370" i="1"/>
  <c r="Z297" i="1"/>
  <c r="Z272" i="1"/>
  <c r="Z154" i="1"/>
  <c r="Z201" i="1"/>
  <c r="Z85" i="1"/>
  <c r="Z31" i="1"/>
  <c r="Z258" i="1"/>
  <c r="Z131" i="1"/>
  <c r="Z352" i="1"/>
  <c r="AA184" i="1"/>
  <c r="Z385" i="1"/>
  <c r="Z133" i="1"/>
  <c r="Z241" i="1"/>
  <c r="Z265" i="1"/>
  <c r="Z209" i="1"/>
  <c r="Z23" i="1"/>
  <c r="Z124" i="1"/>
  <c r="Z69" i="1"/>
  <c r="Z366" i="1"/>
  <c r="Z262" i="1"/>
  <c r="Z249" i="1"/>
  <c r="Z24" i="1"/>
  <c r="Z125" i="1"/>
  <c r="Z46" i="1"/>
  <c r="Z47" i="1"/>
  <c r="Z34" i="1"/>
  <c r="Z255" i="1"/>
  <c r="Z102" i="1"/>
  <c r="Z84" i="1"/>
  <c r="Z335" i="1"/>
  <c r="Z274" i="1"/>
  <c r="Z112" i="1"/>
  <c r="Z202" i="1"/>
  <c r="Z62" i="1"/>
  <c r="Z231" i="1"/>
  <c r="Z348" i="1"/>
  <c r="Z347" i="1"/>
  <c r="Z111" i="1"/>
  <c r="Z256" i="1"/>
  <c r="Z251" i="1"/>
  <c r="Z135" i="1"/>
  <c r="Z185" i="1"/>
  <c r="AA74" i="1"/>
  <c r="Z219" i="1"/>
  <c r="Z228" i="1"/>
  <c r="Z65" i="1"/>
  <c r="Z143" i="1"/>
  <c r="Z38" i="1"/>
  <c r="Z141" i="1"/>
  <c r="AA251" i="1"/>
  <c r="Z246" i="1"/>
  <c r="Z192" i="1"/>
  <c r="Z105" i="1"/>
  <c r="Z138" i="1"/>
  <c r="AA153" i="1"/>
  <c r="Z248" i="1"/>
  <c r="Z52" i="1"/>
  <c r="Z53" i="1"/>
  <c r="Z282" i="1"/>
  <c r="S198" i="170"/>
  <c r="AO398" i="1" s="1"/>
  <c r="S133" i="170"/>
  <c r="AO393" i="1" s="1"/>
  <c r="V351" i="170"/>
  <c r="T31" i="170"/>
  <c r="Q33" i="170"/>
  <c r="W160" i="170"/>
  <c r="W170" i="170"/>
  <c r="V303" i="170"/>
  <c r="T303" i="170"/>
  <c r="R303" i="170"/>
  <c r="X130" i="170"/>
  <c r="X72" i="170"/>
  <c r="T30" i="170"/>
  <c r="P304" i="170"/>
  <c r="AN390" i="1" s="1"/>
  <c r="T304" i="170"/>
  <c r="V165" i="170"/>
  <c r="W132" i="170"/>
  <c r="V332" i="170"/>
  <c r="V346" i="170"/>
  <c r="V11" i="170"/>
  <c r="O212" i="170"/>
  <c r="V172" i="170"/>
  <c r="U70" i="170"/>
  <c r="V26" i="170"/>
  <c r="U28" i="170"/>
  <c r="W355" i="170"/>
  <c r="V171" i="170"/>
  <c r="X303" i="170"/>
  <c r="P303" i="170"/>
  <c r="AN389" i="1" s="1"/>
  <c r="V27" i="170"/>
  <c r="V305" i="170"/>
  <c r="V352" i="170"/>
  <c r="R198" i="170"/>
  <c r="P70" i="170"/>
  <c r="AN155" i="1" s="1"/>
  <c r="X198" i="170"/>
  <c r="R12" i="170"/>
  <c r="X12" i="170"/>
  <c r="V364" i="170"/>
  <c r="V25" i="170"/>
  <c r="V326" i="170"/>
  <c r="W341" i="170"/>
  <c r="V338" i="170"/>
  <c r="O224" i="170"/>
  <c r="P302" i="170"/>
  <c r="AN392" i="1" s="1"/>
  <c r="U302" i="170"/>
  <c r="T302" i="170"/>
  <c r="V152" i="170"/>
  <c r="W152" i="170"/>
  <c r="V159" i="170"/>
  <c r="W159" i="170"/>
  <c r="W358" i="170"/>
  <c r="V358" i="170"/>
  <c r="W322" i="170"/>
  <c r="V322" i="170"/>
  <c r="W349" i="170"/>
  <c r="V349" i="170"/>
  <c r="W304" i="170"/>
  <c r="V304" i="170"/>
  <c r="W173" i="170"/>
  <c r="V173" i="170"/>
  <c r="S72" i="170"/>
  <c r="AO388" i="1" s="1"/>
  <c r="Q72" i="170"/>
  <c r="N250" i="170"/>
  <c r="O43" i="170"/>
  <c r="O82" i="170"/>
  <c r="O378" i="170"/>
  <c r="O75" i="170"/>
  <c r="W344" i="170"/>
  <c r="V344" i="170"/>
  <c r="N248" i="170"/>
  <c r="T248" i="170" s="1"/>
  <c r="O41" i="170"/>
  <c r="V41" i="170" s="1"/>
  <c r="O89" i="170"/>
  <c r="V89" i="170" s="1"/>
  <c r="O388" i="170"/>
  <c r="W388" i="170" s="1"/>
  <c r="O218" i="170"/>
  <c r="W218" i="170" s="1"/>
  <c r="N249" i="170"/>
  <c r="T249" i="170" s="1"/>
  <c r="O42" i="170"/>
  <c r="W42" i="170" s="1"/>
  <c r="O85" i="170"/>
  <c r="W85" i="170" s="1"/>
  <c r="O390" i="170"/>
  <c r="V390" i="170" s="1"/>
  <c r="O228" i="170"/>
  <c r="W228" i="170" s="1"/>
  <c r="O79" i="170"/>
  <c r="V79" i="170" s="1"/>
  <c r="O61" i="170"/>
  <c r="W61" i="170" s="1"/>
  <c r="O83" i="170"/>
  <c r="V83" i="170" s="1"/>
  <c r="O373" i="170"/>
  <c r="W373" i="170" s="1"/>
  <c r="O237" i="170"/>
  <c r="V237" i="170" s="1"/>
  <c r="O368" i="170"/>
  <c r="W368" i="170" s="1"/>
  <c r="O135" i="170"/>
  <c r="W135" i="170" s="1"/>
  <c r="N369" i="170"/>
  <c r="T369" i="170" s="1"/>
  <c r="O59" i="170"/>
  <c r="V59" i="170" s="1"/>
  <c r="O29" i="170"/>
  <c r="P29" i="170" s="1"/>
  <c r="AN181" i="1" s="1"/>
  <c r="O396" i="170"/>
  <c r="W396" i="170" s="1"/>
  <c r="O230" i="170"/>
  <c r="V230" i="170" s="1"/>
  <c r="O142" i="170"/>
  <c r="V142" i="170" s="1"/>
  <c r="O147" i="170"/>
  <c r="V147" i="170" s="1"/>
  <c r="O53" i="170"/>
  <c r="V53" i="170" s="1"/>
  <c r="O205" i="170"/>
  <c r="W205" i="170" s="1"/>
  <c r="O387" i="170"/>
  <c r="W387" i="170" s="1"/>
  <c r="O215" i="170"/>
  <c r="V215" i="170" s="1"/>
  <c r="O143" i="170"/>
  <c r="V143" i="170" s="1"/>
  <c r="O247" i="170"/>
  <c r="W247" i="170" s="1"/>
  <c r="O58" i="170"/>
  <c r="V58" i="170" s="1"/>
  <c r="O52" i="170"/>
  <c r="V52" i="170" s="1"/>
  <c r="O199" i="170"/>
  <c r="O395" i="170"/>
  <c r="O145" i="170"/>
  <c r="W145" i="170" s="1"/>
  <c r="O60" i="170"/>
  <c r="W60" i="170" s="1"/>
  <c r="O319" i="170"/>
  <c r="O90" i="170"/>
  <c r="W90" i="170" s="1"/>
  <c r="O235" i="170"/>
  <c r="X133" i="170"/>
  <c r="V359" i="170"/>
  <c r="V337" i="170"/>
  <c r="W337" i="170"/>
  <c r="V9" i="170"/>
  <c r="W9" i="170"/>
  <c r="W350" i="170"/>
  <c r="V350" i="170"/>
  <c r="W336" i="170"/>
  <c r="V336" i="170"/>
  <c r="U305" i="170"/>
  <c r="P305" i="170"/>
  <c r="AN384" i="1" s="1"/>
  <c r="T305" i="170"/>
  <c r="W70" i="170"/>
  <c r="V70" i="170"/>
  <c r="W334" i="170"/>
  <c r="V334" i="170"/>
  <c r="O200" i="170"/>
  <c r="V200" i="170" s="1"/>
  <c r="O227" i="170"/>
  <c r="W362" i="170"/>
  <c r="W345" i="170"/>
  <c r="V345" i="170"/>
  <c r="N172" i="170"/>
  <c r="T172" i="170" s="1"/>
  <c r="O37" i="170"/>
  <c r="W37" i="170" s="1"/>
  <c r="O201" i="170"/>
  <c r="V201" i="170" s="1"/>
  <c r="O386" i="170"/>
  <c r="V386" i="170" s="1"/>
  <c r="O211" i="170"/>
  <c r="V211" i="170" s="1"/>
  <c r="O150" i="170"/>
  <c r="W150" i="170" s="1"/>
  <c r="O50" i="170"/>
  <c r="W50" i="170" s="1"/>
  <c r="O202" i="170"/>
  <c r="W202" i="170" s="1"/>
  <c r="O393" i="170"/>
  <c r="V393" i="170" s="1"/>
  <c r="O216" i="170"/>
  <c r="W216" i="170" s="1"/>
  <c r="N367" i="170"/>
  <c r="U367" i="170" s="1"/>
  <c r="O65" i="170"/>
  <c r="W65" i="170" s="1"/>
  <c r="O31" i="170"/>
  <c r="P31" i="170" s="1"/>
  <c r="AN225" i="1" s="1"/>
  <c r="O397" i="170"/>
  <c r="W397" i="170" s="1"/>
  <c r="O221" i="170"/>
  <c r="V221" i="170" s="1"/>
  <c r="O77" i="170"/>
  <c r="V77" i="170" s="1"/>
  <c r="N156" i="170"/>
  <c r="T156" i="170" s="1"/>
  <c r="Q156" i="170" s="1"/>
  <c r="O148" i="170"/>
  <c r="W148" i="170" s="1"/>
  <c r="O64" i="170"/>
  <c r="V64" i="170" s="1"/>
  <c r="O204" i="170"/>
  <c r="W204" i="170" s="1"/>
  <c r="O384" i="170"/>
  <c r="W384" i="170" s="1"/>
  <c r="O214" i="170"/>
  <c r="V214" i="170" s="1"/>
  <c r="O76" i="170"/>
  <c r="W76" i="170" s="1"/>
  <c r="O39" i="170"/>
  <c r="W39" i="170" s="1"/>
  <c r="O320" i="170"/>
  <c r="W320" i="170" s="1"/>
  <c r="O91" i="170"/>
  <c r="V91" i="170" s="1"/>
  <c r="O236" i="170"/>
  <c r="W236" i="170" s="1"/>
  <c r="O248" i="170"/>
  <c r="V248" i="170" s="1"/>
  <c r="O222" i="170"/>
  <c r="W222" i="170" s="1"/>
  <c r="O139" i="170"/>
  <c r="W139" i="170" s="1"/>
  <c r="O36" i="170"/>
  <c r="V36" i="170" s="1"/>
  <c r="O317" i="170"/>
  <c r="W317" i="170" s="1"/>
  <c r="O92" i="170"/>
  <c r="V92" i="170" s="1"/>
  <c r="O234" i="170"/>
  <c r="V234" i="170" s="1"/>
  <c r="N247" i="170"/>
  <c r="O57" i="170"/>
  <c r="O88" i="170"/>
  <c r="O392" i="170"/>
  <c r="O223" i="170"/>
  <c r="W151" i="170"/>
  <c r="R232" i="170"/>
  <c r="X232" i="170"/>
  <c r="V343" i="170"/>
  <c r="W343" i="170"/>
  <c r="V163" i="170"/>
  <c r="W163" i="170"/>
  <c r="W167" i="170"/>
  <c r="V167" i="170"/>
  <c r="V302" i="170"/>
  <c r="W302" i="170"/>
  <c r="O62" i="170"/>
  <c r="V62" i="170" s="1"/>
  <c r="O48" i="170"/>
  <c r="V48" i="170" s="1"/>
  <c r="O328" i="170"/>
  <c r="W328" i="170" s="1"/>
  <c r="O207" i="170"/>
  <c r="V207" i="170" s="1"/>
  <c r="O381" i="170"/>
  <c r="W381" i="170" s="1"/>
  <c r="O220" i="170"/>
  <c r="V220" i="170" s="1"/>
  <c r="O210" i="170"/>
  <c r="V210" i="170" s="1"/>
  <c r="R133" i="170"/>
  <c r="V354" i="170"/>
  <c r="W158" i="170"/>
  <c r="V158" i="170"/>
  <c r="V162" i="170"/>
  <c r="W162" i="170"/>
  <c r="V360" i="170"/>
  <c r="W360" i="170"/>
  <c r="W342" i="170"/>
  <c r="V342" i="170"/>
  <c r="S232" i="170"/>
  <c r="AO394" i="1" s="1"/>
  <c r="Q232" i="170"/>
  <c r="W324" i="170"/>
  <c r="V324" i="170"/>
  <c r="W357" i="170"/>
  <c r="V357" i="170"/>
  <c r="W164" i="170"/>
  <c r="V164" i="170"/>
  <c r="O56" i="170"/>
  <c r="V56" i="170" s="1"/>
  <c r="O327" i="170"/>
  <c r="W327" i="170" s="1"/>
  <c r="O203" i="170"/>
  <c r="V203" i="170" s="1"/>
  <c r="O243" i="170"/>
  <c r="V243" i="170" s="1"/>
  <c r="O367" i="170"/>
  <c r="W367" i="170" s="1"/>
  <c r="O67" i="170"/>
  <c r="V67" i="170" s="1"/>
  <c r="O316" i="170"/>
  <c r="V316" i="170" s="1"/>
  <c r="O8" i="170"/>
  <c r="W8" i="170" s="1"/>
  <c r="O245" i="170"/>
  <c r="W245" i="170" s="1"/>
  <c r="O213" i="170"/>
  <c r="W213" i="170" s="1"/>
  <c r="O149" i="170"/>
  <c r="V149" i="170" s="1"/>
  <c r="O54" i="170"/>
  <c r="V54" i="170" s="1"/>
  <c r="O209" i="170"/>
  <c r="W209" i="170" s="1"/>
  <c r="O382" i="170"/>
  <c r="W382" i="170" s="1"/>
  <c r="O229" i="170"/>
  <c r="V229" i="170" s="1"/>
  <c r="O137" i="170"/>
  <c r="V137" i="170" s="1"/>
  <c r="O136" i="170"/>
  <c r="W136" i="170" s="1"/>
  <c r="O46" i="170"/>
  <c r="W46" i="170" s="1"/>
  <c r="O318" i="170"/>
  <c r="W318" i="170" s="1"/>
  <c r="O6" i="170"/>
  <c r="V6" i="170" s="1"/>
  <c r="O241" i="170"/>
  <c r="V241" i="170" s="1"/>
  <c r="O250" i="170"/>
  <c r="V250" i="170" s="1"/>
  <c r="N7" i="170"/>
  <c r="U7" i="170" s="1"/>
  <c r="O55" i="170"/>
  <c r="V55" i="170" s="1"/>
  <c r="O87" i="170"/>
  <c r="V87" i="170" s="1"/>
  <c r="O379" i="170"/>
  <c r="W379" i="170" s="1"/>
  <c r="O240" i="170"/>
  <c r="O73" i="170"/>
  <c r="O219" i="170"/>
  <c r="N6" i="170"/>
  <c r="O45" i="170"/>
  <c r="O86" i="170"/>
  <c r="O385" i="170"/>
  <c r="O217" i="170"/>
  <c r="N366" i="170"/>
  <c r="O51" i="170"/>
  <c r="O208" i="170"/>
  <c r="O383" i="170"/>
  <c r="T71" i="170"/>
  <c r="W131" i="170"/>
  <c r="W325" i="170"/>
  <c r="W169" i="170"/>
  <c r="V356" i="170"/>
  <c r="V166" i="170"/>
  <c r="W166" i="170"/>
  <c r="W153" i="170"/>
  <c r="V153" i="170"/>
  <c r="W361" i="170"/>
  <c r="V361" i="170"/>
  <c r="W71" i="170"/>
  <c r="R71" i="170" s="1"/>
  <c r="V71" i="170"/>
  <c r="O394" i="170"/>
  <c r="W394" i="170" s="1"/>
  <c r="O134" i="170"/>
  <c r="W134" i="170" s="1"/>
  <c r="W323" i="170"/>
  <c r="V323" i="170"/>
  <c r="V353" i="170"/>
  <c r="W353" i="170"/>
  <c r="O44" i="170"/>
  <c r="O330" i="170"/>
  <c r="O374" i="170"/>
  <c r="O244" i="170"/>
  <c r="O366" i="170"/>
  <c r="O80" i="170"/>
  <c r="P71" i="170"/>
  <c r="AN269" i="1" s="1"/>
  <c r="W168" i="170"/>
  <c r="W157" i="170"/>
  <c r="V157" i="170"/>
  <c r="V339" i="170"/>
  <c r="W339" i="170"/>
  <c r="V154" i="170"/>
  <c r="W154" i="170"/>
  <c r="S377" i="170"/>
  <c r="AO381" i="1" s="1"/>
  <c r="Q377" i="170"/>
  <c r="V10" i="170"/>
  <c r="W10" i="170"/>
  <c r="V347" i="170"/>
  <c r="W347" i="170"/>
  <c r="W340" i="170"/>
  <c r="V340" i="170"/>
  <c r="V333" i="170"/>
  <c r="W333" i="170"/>
  <c r="N173" i="170"/>
  <c r="U173" i="170" s="1"/>
  <c r="O68" i="170"/>
  <c r="V68" i="170" s="1"/>
  <c r="O331" i="170"/>
  <c r="V331" i="170" s="1"/>
  <c r="O372" i="170"/>
  <c r="W372" i="170" s="1"/>
  <c r="O246" i="170"/>
  <c r="W246" i="170" s="1"/>
  <c r="O141" i="170"/>
  <c r="W141" i="170" s="1"/>
  <c r="O38" i="170"/>
  <c r="V38" i="170" s="1"/>
  <c r="O329" i="170"/>
  <c r="V329" i="170" s="1"/>
  <c r="O371" i="170"/>
  <c r="V371" i="170" s="1"/>
  <c r="O242" i="170"/>
  <c r="V242" i="170" s="1"/>
  <c r="O369" i="170"/>
  <c r="V369" i="170" s="1"/>
  <c r="O63" i="170"/>
  <c r="V63" i="170" s="1"/>
  <c r="O321" i="170"/>
  <c r="V321" i="170" s="1"/>
  <c r="O7" i="170"/>
  <c r="W7" i="170" s="1"/>
  <c r="O239" i="170"/>
  <c r="V239" i="170" s="1"/>
  <c r="O226" i="170"/>
  <c r="W226" i="170" s="1"/>
  <c r="O74" i="170"/>
  <c r="W74" i="170" s="1"/>
  <c r="N8" i="170"/>
  <c r="U8" i="170" s="1"/>
  <c r="O49" i="170"/>
  <c r="W49" i="170" s="1"/>
  <c r="O84" i="170"/>
  <c r="W84" i="170" s="1"/>
  <c r="O376" i="170"/>
  <c r="V376" i="170" s="1"/>
  <c r="O238" i="170"/>
  <c r="W238" i="170" s="1"/>
  <c r="O370" i="170"/>
  <c r="V370" i="170" s="1"/>
  <c r="N368" i="170"/>
  <c r="U368" i="170" s="1"/>
  <c r="O40" i="170"/>
  <c r="V40" i="170" s="1"/>
  <c r="O28" i="170"/>
  <c r="V28" i="170" s="1"/>
  <c r="Q28" i="170" s="1"/>
  <c r="O380" i="170"/>
  <c r="V380" i="170" s="1"/>
  <c r="O231" i="170"/>
  <c r="V231" i="170" s="1"/>
  <c r="O140" i="170"/>
  <c r="W140" i="170" s="1"/>
  <c r="O78" i="170"/>
  <c r="W78" i="170" s="1"/>
  <c r="N370" i="170"/>
  <c r="U370" i="170" s="1"/>
  <c r="O35" i="170"/>
  <c r="W35" i="170" s="1"/>
  <c r="O30" i="170"/>
  <c r="O391" i="170"/>
  <c r="O249" i="170"/>
  <c r="O47" i="170"/>
  <c r="O66" i="170"/>
  <c r="O206" i="170"/>
  <c r="O389" i="170"/>
  <c r="O225" i="170"/>
  <c r="V365" i="170"/>
  <c r="V161" i="170"/>
  <c r="S130" i="170"/>
  <c r="AO280" i="1" s="1"/>
  <c r="Q130" i="170"/>
  <c r="V363" i="170"/>
  <c r="W363" i="170"/>
  <c r="T13" i="170"/>
  <c r="U13" i="170"/>
  <c r="P13" i="170"/>
  <c r="AN396" i="1" s="1"/>
  <c r="T29" i="170"/>
  <c r="U29" i="170"/>
  <c r="W348" i="170"/>
  <c r="V348" i="170"/>
  <c r="W203" i="170"/>
  <c r="W149" i="170"/>
  <c r="AL382" i="1"/>
  <c r="AJ382" i="1"/>
  <c r="AL333" i="1"/>
  <c r="AJ333" i="1"/>
  <c r="AL337" i="1"/>
  <c r="AJ337" i="1"/>
  <c r="AL129" i="1"/>
  <c r="AJ129" i="1"/>
  <c r="AL198" i="1"/>
  <c r="AJ198" i="1"/>
  <c r="AL230" i="1"/>
  <c r="AJ230" i="1"/>
  <c r="AL145" i="1"/>
  <c r="AJ145" i="1"/>
  <c r="AM367" i="1"/>
  <c r="AK367" i="1"/>
  <c r="AL76" i="1"/>
  <c r="AJ76" i="1"/>
  <c r="AL318" i="1"/>
  <c r="AJ318" i="1"/>
  <c r="AL203" i="1"/>
  <c r="AJ203" i="1"/>
  <c r="AL26" i="1"/>
  <c r="AJ26" i="1"/>
  <c r="AL334" i="1"/>
  <c r="AJ334" i="1"/>
  <c r="AL285" i="1"/>
  <c r="AJ285" i="1"/>
  <c r="AL331" i="1"/>
  <c r="AJ331" i="1"/>
  <c r="AL329" i="1"/>
  <c r="AJ329" i="1"/>
  <c r="AL48" i="1"/>
  <c r="AJ48" i="1"/>
  <c r="AL57" i="1"/>
  <c r="AJ57" i="1"/>
  <c r="AL50" i="1"/>
  <c r="AJ50" i="1"/>
  <c r="AL171" i="1"/>
  <c r="AJ171" i="1"/>
  <c r="AL178" i="1"/>
  <c r="AJ178" i="1"/>
  <c r="AL194" i="1"/>
  <c r="AJ194" i="1"/>
  <c r="AL173" i="1"/>
  <c r="AJ173" i="1"/>
  <c r="AM162" i="1"/>
  <c r="AK162" i="1"/>
  <c r="AM133" i="1"/>
  <c r="AK133" i="1"/>
  <c r="AL252" i="1"/>
  <c r="AJ252" i="1"/>
  <c r="AL113" i="1"/>
  <c r="AJ113" i="1"/>
  <c r="AL150" i="1"/>
  <c r="AJ150" i="1"/>
  <c r="AL191" i="1"/>
  <c r="AJ191" i="1"/>
  <c r="AL302" i="1"/>
  <c r="AJ302" i="1"/>
  <c r="AL166" i="1"/>
  <c r="AJ166" i="1"/>
  <c r="AL180" i="1"/>
  <c r="AJ180" i="1"/>
  <c r="AL55" i="1"/>
  <c r="AJ55" i="1"/>
  <c r="AL386" i="1"/>
  <c r="AJ386" i="1"/>
  <c r="AL310" i="1"/>
  <c r="AJ310" i="1"/>
  <c r="AL283" i="1"/>
  <c r="AJ283" i="1"/>
  <c r="AL56" i="1"/>
  <c r="AJ56" i="1"/>
  <c r="AL28" i="1"/>
  <c r="AJ28" i="1"/>
  <c r="AL308" i="1"/>
  <c r="AJ308" i="1"/>
  <c r="AL304" i="1"/>
  <c r="AJ304" i="1"/>
  <c r="AM357" i="1"/>
  <c r="AK357" i="1"/>
  <c r="AM192" i="1"/>
  <c r="AK192" i="1"/>
  <c r="AL245" i="1"/>
  <c r="AJ245" i="1"/>
  <c r="AL151" i="1"/>
  <c r="AJ151" i="1"/>
  <c r="AL378" i="1"/>
  <c r="AJ378" i="1"/>
  <c r="AL294" i="1"/>
  <c r="AJ294" i="1"/>
  <c r="AL372" i="1"/>
  <c r="AJ372" i="1"/>
  <c r="AL175" i="1"/>
  <c r="AJ175" i="1"/>
  <c r="AL344" i="1"/>
  <c r="AJ344" i="1"/>
  <c r="AL36" i="1"/>
  <c r="AJ36" i="1"/>
  <c r="AL286" i="1"/>
  <c r="AJ286" i="1"/>
  <c r="AL35" i="1"/>
  <c r="AJ35" i="1"/>
  <c r="AL234" i="1"/>
  <c r="AJ234" i="1"/>
  <c r="AL240" i="1"/>
  <c r="AJ240" i="1"/>
  <c r="AL306" i="1"/>
  <c r="AJ306" i="1"/>
  <c r="AL172" i="1"/>
  <c r="AJ172" i="1"/>
  <c r="AM271" i="1"/>
  <c r="AK271" i="1"/>
  <c r="AM266" i="1"/>
  <c r="AK266" i="1"/>
  <c r="AM292" i="1"/>
  <c r="AK292" i="1"/>
  <c r="AL301" i="1"/>
  <c r="AJ301" i="1"/>
  <c r="AL383" i="1"/>
  <c r="AJ383" i="1"/>
  <c r="AL130" i="1"/>
  <c r="AJ130" i="1"/>
  <c r="AL215" i="1"/>
  <c r="AJ215" i="1"/>
  <c r="AL290" i="1"/>
  <c r="AJ290" i="1"/>
  <c r="AL371" i="1"/>
  <c r="AJ371" i="1"/>
  <c r="AL54" i="1"/>
  <c r="AJ54" i="1"/>
  <c r="AM293" i="1"/>
  <c r="AK293" i="1"/>
  <c r="AM66" i="1"/>
  <c r="AK66" i="1"/>
  <c r="AL351" i="1"/>
  <c r="AJ351" i="1"/>
  <c r="AL45" i="1"/>
  <c r="AJ45" i="1"/>
  <c r="AL205" i="1"/>
  <c r="AJ205" i="1"/>
  <c r="AL156" i="1"/>
  <c r="AJ156" i="1"/>
  <c r="AL359" i="1"/>
  <c r="AJ359" i="1"/>
  <c r="AL365" i="1"/>
  <c r="AJ365" i="1"/>
  <c r="AL300" i="1"/>
  <c r="AJ300" i="1"/>
  <c r="AL174" i="1"/>
  <c r="AJ174" i="1"/>
  <c r="AL320" i="1"/>
  <c r="AJ320" i="1"/>
  <c r="AL233" i="1"/>
  <c r="AJ233" i="1"/>
  <c r="AL260" i="1"/>
  <c r="AJ260" i="1"/>
  <c r="AL49" i="1"/>
  <c r="AJ49" i="1"/>
  <c r="AL309" i="1"/>
  <c r="AJ309" i="1"/>
  <c r="AL176" i="1"/>
  <c r="AJ176" i="1"/>
  <c r="AL238" i="1"/>
  <c r="AJ238" i="1"/>
  <c r="AL177" i="1"/>
  <c r="AJ177" i="1"/>
  <c r="AM244" i="1"/>
  <c r="AK244" i="1"/>
  <c r="AM39" i="1"/>
  <c r="AK39" i="1"/>
  <c r="AM316" i="1"/>
  <c r="AK316" i="1"/>
  <c r="AM147" i="1"/>
  <c r="AK147" i="1"/>
  <c r="AL298" i="1"/>
  <c r="AJ298" i="1"/>
  <c r="AL332" i="1"/>
  <c r="AJ332" i="1"/>
  <c r="AL44" i="1"/>
  <c r="AJ44" i="1"/>
  <c r="AL197" i="1"/>
  <c r="AJ197" i="1"/>
  <c r="AL144" i="1"/>
  <c r="AJ144" i="1"/>
  <c r="AM350" i="1"/>
  <c r="AK350" i="1"/>
  <c r="AL287" i="1"/>
  <c r="AJ287" i="1"/>
  <c r="AL324" i="1"/>
  <c r="AJ324" i="1"/>
  <c r="AL295" i="1"/>
  <c r="AJ295" i="1"/>
  <c r="AL284" i="1"/>
  <c r="AJ284" i="1"/>
  <c r="AL296" i="1"/>
  <c r="AJ296" i="1"/>
  <c r="AL356" i="1"/>
  <c r="AJ356" i="1"/>
  <c r="AL167" i="1"/>
  <c r="AJ167" i="1"/>
  <c r="AL169" i="1"/>
  <c r="AJ169" i="1"/>
  <c r="AL322" i="1"/>
  <c r="AJ322" i="1"/>
  <c r="AM373" i="1"/>
  <c r="AK373" i="1"/>
  <c r="AL188" i="1"/>
  <c r="AJ188" i="1"/>
  <c r="AL328" i="1"/>
  <c r="AJ328" i="1"/>
  <c r="AL217" i="1"/>
  <c r="AJ217" i="1"/>
  <c r="AL195" i="1"/>
  <c r="AJ195" i="1"/>
  <c r="AM278" i="1"/>
  <c r="AK278" i="1"/>
  <c r="AM21" i="1"/>
  <c r="AK21" i="1"/>
  <c r="AL375" i="1"/>
  <c r="AJ375" i="1"/>
  <c r="AL87" i="1"/>
  <c r="AJ87" i="1"/>
  <c r="AL349" i="1"/>
  <c r="AJ349" i="1"/>
  <c r="AL128" i="1"/>
  <c r="AJ128" i="1"/>
  <c r="AL193" i="1"/>
  <c r="AJ193" i="1"/>
  <c r="AL303" i="1"/>
  <c r="AJ303" i="1"/>
  <c r="AL242" i="1"/>
  <c r="AJ242" i="1"/>
  <c r="AL165" i="1"/>
  <c r="AJ165" i="1"/>
  <c r="AM98" i="1"/>
  <c r="AK98" i="1"/>
  <c r="AM187" i="1"/>
  <c r="AK187" i="1"/>
  <c r="AL276" i="1"/>
  <c r="AJ276" i="1"/>
  <c r="AL319" i="1"/>
  <c r="AJ319" i="1"/>
  <c r="AL204" i="1"/>
  <c r="AJ204" i="1"/>
  <c r="AL313" i="1"/>
  <c r="AJ313" i="1"/>
  <c r="AL134" i="1"/>
  <c r="AJ134" i="1"/>
  <c r="AL341" i="1"/>
  <c r="AJ341" i="1"/>
  <c r="AL387" i="1"/>
  <c r="AJ387" i="1"/>
  <c r="AL377" i="1"/>
  <c r="AJ377" i="1"/>
  <c r="AL20" i="1"/>
  <c r="AJ20" i="1"/>
  <c r="AL137" i="1"/>
  <c r="AJ137" i="1"/>
  <c r="AL346" i="1"/>
  <c r="AJ346" i="1"/>
  <c r="AL235" i="1"/>
  <c r="AJ235" i="1"/>
  <c r="AL232" i="1"/>
  <c r="AJ232" i="1"/>
  <c r="AL307" i="1"/>
  <c r="AJ307" i="1"/>
  <c r="AL321" i="1"/>
  <c r="AJ321" i="1"/>
  <c r="AL161" i="1"/>
  <c r="AJ161" i="1"/>
  <c r="AM228" i="1"/>
  <c r="AK228" i="1"/>
  <c r="AL127" i="1"/>
  <c r="AJ127" i="1"/>
  <c r="AL355" i="1"/>
  <c r="AJ355" i="1"/>
  <c r="AL19" i="1"/>
  <c r="AJ19" i="1"/>
  <c r="AL345" i="1"/>
  <c r="AJ345" i="1"/>
  <c r="AL196" i="1"/>
  <c r="AJ196" i="1"/>
  <c r="AL305" i="1"/>
  <c r="AJ305" i="1"/>
  <c r="AM254" i="1"/>
  <c r="AK254" i="1"/>
  <c r="W212" i="170"/>
  <c r="V212" i="170"/>
  <c r="AI288" i="1"/>
  <c r="AI213" i="1"/>
  <c r="AI314" i="1"/>
  <c r="AI275" i="1"/>
  <c r="AI182" i="1"/>
  <c r="AI330" i="1"/>
  <c r="AI183" i="1"/>
  <c r="AI64" i="1"/>
  <c r="AI75" i="1"/>
  <c r="AI239" i="1"/>
  <c r="AI67" i="1"/>
  <c r="AI122" i="1"/>
  <c r="AI241" i="1"/>
  <c r="AI268" i="1"/>
  <c r="AI361" i="1"/>
  <c r="AI69" i="1"/>
  <c r="AI53" i="1"/>
  <c r="AI62" i="1"/>
  <c r="AI117" i="1"/>
  <c r="AI126" i="1"/>
  <c r="AI236" i="1"/>
  <c r="AI63" i="1"/>
  <c r="AI237" i="1"/>
  <c r="AI65" i="1"/>
  <c r="AI68" i="1"/>
  <c r="AI70" i="1"/>
  <c r="AI105" i="1"/>
  <c r="AI272" i="1"/>
  <c r="AI84" i="1"/>
  <c r="AI267" i="1"/>
  <c r="AI352" i="1"/>
  <c r="AI51" i="1"/>
  <c r="AI142" i="1"/>
  <c r="AI270" i="1"/>
  <c r="AI289" i="1"/>
  <c r="AI315" i="1"/>
  <c r="AI135" i="1"/>
  <c r="AI46" i="1"/>
  <c r="AI143" i="1"/>
  <c r="AI364" i="1"/>
  <c r="AI148" i="1"/>
  <c r="AI368" i="1"/>
  <c r="AI149" i="1"/>
  <c r="AI277" i="1"/>
  <c r="AI170" i="1"/>
  <c r="AI206" i="1"/>
  <c r="AI263" i="1"/>
  <c r="AI27" i="1"/>
  <c r="AI25" i="1"/>
  <c r="AI80" i="1"/>
  <c r="AI186" i="1"/>
  <c r="AI40" i="1"/>
  <c r="AI88" i="1"/>
  <c r="AI112" i="1"/>
  <c r="AI120" i="1"/>
  <c r="AI248" i="1"/>
  <c r="AI111" i="1"/>
  <c r="AI212" i="1"/>
  <c r="AI249" i="1"/>
  <c r="AI385" i="1"/>
  <c r="AI42" i="1"/>
  <c r="AI106" i="1"/>
  <c r="AI90" i="1"/>
  <c r="AI99" i="1"/>
  <c r="AI108" i="1"/>
  <c r="AI209" i="1"/>
  <c r="AI291" i="1"/>
  <c r="AI91" i="1"/>
  <c r="AI109" i="1"/>
  <c r="AI118" i="1"/>
  <c r="AI210" i="1"/>
  <c r="AI219" i="1"/>
  <c r="AI246" i="1"/>
  <c r="AI41" i="1"/>
  <c r="AI89" i="1"/>
  <c r="AI211" i="1"/>
  <c r="AI43" i="1"/>
  <c r="AI116" i="1"/>
  <c r="AI354" i="1"/>
  <c r="AI95" i="1"/>
  <c r="AI223" i="1"/>
  <c r="AI31" i="1"/>
  <c r="AI299" i="1"/>
  <c r="AI34" i="1"/>
  <c r="AI107" i="1"/>
  <c r="AI12" i="1"/>
  <c r="AI32" i="1"/>
  <c r="AI121" i="1"/>
  <c r="AI58" i="1"/>
  <c r="AI114" i="1"/>
  <c r="AI59" i="1"/>
  <c r="AI103" i="1"/>
  <c r="AI124" i="1"/>
  <c r="AI323" i="1"/>
  <c r="AI119" i="1"/>
  <c r="AI123" i="1"/>
  <c r="AI52" i="1"/>
  <c r="AI125" i="1"/>
  <c r="AI159" i="1"/>
  <c r="AI79" i="1"/>
  <c r="AI202" i="1"/>
  <c r="AI61" i="1"/>
  <c r="AI131" i="1"/>
  <c r="AI311" i="1"/>
  <c r="AI297" i="1"/>
  <c r="AI200" i="1"/>
  <c r="AI363" i="1"/>
  <c r="AI274" i="1"/>
  <c r="AI214" i="1"/>
  <c r="AI24" i="1"/>
  <c r="AI23" i="1"/>
  <c r="R24" i="139"/>
  <c r="R28" i="139"/>
  <c r="R54" i="139"/>
  <c r="R38" i="139"/>
  <c r="AI11" i="1" s="1"/>
  <c r="R35" i="139"/>
  <c r="AI261" i="1" s="1"/>
  <c r="R45" i="139"/>
  <c r="AI13" i="1" s="1"/>
  <c r="R34" i="139"/>
  <c r="R19" i="139"/>
  <c r="R36" i="139"/>
  <c r="R30" i="139"/>
  <c r="R25" i="139"/>
  <c r="R37" i="139"/>
  <c r="R47" i="139"/>
  <c r="R43" i="139"/>
  <c r="J2" i="139"/>
  <c r="Q2" i="139"/>
  <c r="X368" i="170" l="1"/>
  <c r="W211" i="170"/>
  <c r="V85" i="170"/>
  <c r="W215" i="170"/>
  <c r="V61" i="170"/>
  <c r="V31" i="170"/>
  <c r="Q31" i="170" s="1"/>
  <c r="W147" i="170"/>
  <c r="V29" i="170"/>
  <c r="W52" i="170"/>
  <c r="U172" i="170"/>
  <c r="R172" i="170" s="1"/>
  <c r="W83" i="170"/>
  <c r="Z303" i="1"/>
  <c r="Z87" i="1"/>
  <c r="Z195" i="1"/>
  <c r="AA373" i="1"/>
  <c r="Z356" i="1"/>
  <c r="Z324" i="1"/>
  <c r="Z197" i="1"/>
  <c r="AA147" i="1"/>
  <c r="Z177" i="1"/>
  <c r="Z49" i="1"/>
  <c r="Z174" i="1"/>
  <c r="Z156" i="1"/>
  <c r="AA66" i="1"/>
  <c r="Z290" i="1"/>
  <c r="Z301" i="1"/>
  <c r="AA271" i="1"/>
  <c r="Z234" i="1"/>
  <c r="Z344" i="1"/>
  <c r="Z378" i="1"/>
  <c r="AA357" i="1"/>
  <c r="Z56" i="1"/>
  <c r="Z55" i="1"/>
  <c r="Z191" i="1"/>
  <c r="Z305" i="1"/>
  <c r="Z355" i="1"/>
  <c r="Z321" i="1"/>
  <c r="Z346" i="1"/>
  <c r="Z387" i="1"/>
  <c r="Z204" i="1"/>
  <c r="V388" i="170"/>
  <c r="AA133" i="1"/>
  <c r="Z178" i="1"/>
  <c r="Z48" i="1"/>
  <c r="Z334" i="1"/>
  <c r="Z76" i="1"/>
  <c r="Z198" i="1"/>
  <c r="Z382" i="1"/>
  <c r="V60" i="170"/>
  <c r="Z193" i="1"/>
  <c r="Z217" i="1"/>
  <c r="Z296" i="1"/>
  <c r="AA316" i="1"/>
  <c r="Z300" i="1"/>
  <c r="AA293" i="1"/>
  <c r="Z172" i="1"/>
  <c r="Z151" i="1"/>
  <c r="Z180" i="1"/>
  <c r="AA98" i="1"/>
  <c r="Z375" i="1"/>
  <c r="Z322" i="1"/>
  <c r="Z287" i="1"/>
  <c r="Z44" i="1"/>
  <c r="Z238" i="1"/>
  <c r="Z260" i="1"/>
  <c r="Z205" i="1"/>
  <c r="Z215" i="1"/>
  <c r="AA292" i="1"/>
  <c r="Z35" i="1"/>
  <c r="Z175" i="1"/>
  <c r="Z304" i="1"/>
  <c r="Z283" i="1"/>
  <c r="Z150" i="1"/>
  <c r="Z196" i="1"/>
  <c r="Z127" i="1"/>
  <c r="Z307" i="1"/>
  <c r="Z137" i="1"/>
  <c r="Z341" i="1"/>
  <c r="Z319" i="1"/>
  <c r="AA162" i="1"/>
  <c r="Z171" i="1"/>
  <c r="Z329" i="1"/>
  <c r="Z26" i="1"/>
  <c r="AA367" i="1"/>
  <c r="Z129" i="1"/>
  <c r="Z233" i="1"/>
  <c r="Z372" i="1"/>
  <c r="Z165" i="1"/>
  <c r="AA21" i="1"/>
  <c r="Z169" i="1"/>
  <c r="AA350" i="1"/>
  <c r="AA39" i="1"/>
  <c r="Z365" i="1"/>
  <c r="Z130" i="1"/>
  <c r="Z306" i="1"/>
  <c r="Z286" i="1"/>
  <c r="Z245" i="1"/>
  <c r="Z308" i="1"/>
  <c r="Z310" i="1"/>
  <c r="Z166" i="1"/>
  <c r="Z113" i="1"/>
  <c r="Z345" i="1"/>
  <c r="AA228" i="1"/>
  <c r="Z232" i="1"/>
  <c r="Z20" i="1"/>
  <c r="Z134" i="1"/>
  <c r="Z276" i="1"/>
  <c r="W29" i="170"/>
  <c r="Z173" i="1"/>
  <c r="Z50" i="1"/>
  <c r="Z331" i="1"/>
  <c r="Z203" i="1"/>
  <c r="Z145" i="1"/>
  <c r="Z337" i="1"/>
  <c r="V368" i="170"/>
  <c r="V397" i="170"/>
  <c r="Z45" i="1"/>
  <c r="Z349" i="1"/>
  <c r="AA278" i="1"/>
  <c r="Z167" i="1"/>
  <c r="Z295" i="1"/>
  <c r="Z298" i="1"/>
  <c r="AA244" i="1"/>
  <c r="Z320" i="1"/>
  <c r="Z359" i="1"/>
  <c r="Z371" i="1"/>
  <c r="AA266" i="1"/>
  <c r="Z240" i="1"/>
  <c r="Z294" i="1"/>
  <c r="AA192" i="1"/>
  <c r="Z386" i="1"/>
  <c r="Z302" i="1"/>
  <c r="Z128" i="1"/>
  <c r="Z328" i="1"/>
  <c r="Z284" i="1"/>
  <c r="Z332" i="1"/>
  <c r="Z176" i="1"/>
  <c r="Z54" i="1"/>
  <c r="Z242" i="1"/>
  <c r="Z188" i="1"/>
  <c r="Z144" i="1"/>
  <c r="Z309" i="1"/>
  <c r="Z351" i="1"/>
  <c r="Z383" i="1"/>
  <c r="Z36" i="1"/>
  <c r="Z28" i="1"/>
  <c r="Z252" i="1"/>
  <c r="AA254" i="1"/>
  <c r="Z19" i="1"/>
  <c r="Z161" i="1"/>
  <c r="Z235" i="1"/>
  <c r="Z377" i="1"/>
  <c r="Z313" i="1"/>
  <c r="AA187" i="1"/>
  <c r="Z194" i="1"/>
  <c r="Z57" i="1"/>
  <c r="Z285" i="1"/>
  <c r="Z318" i="1"/>
  <c r="Z230" i="1"/>
  <c r="Z333" i="1"/>
  <c r="W393" i="170"/>
  <c r="W31" i="170"/>
  <c r="R31" i="170" s="1"/>
  <c r="W210" i="170"/>
  <c r="T7" i="170"/>
  <c r="W89" i="170"/>
  <c r="V222" i="170"/>
  <c r="S303" i="170"/>
  <c r="AO389" i="1" s="1"/>
  <c r="W369" i="170"/>
  <c r="V204" i="170"/>
  <c r="W58" i="170"/>
  <c r="W77" i="170"/>
  <c r="W380" i="170"/>
  <c r="V202" i="170"/>
  <c r="W237" i="170"/>
  <c r="W142" i="170"/>
  <c r="V145" i="170"/>
  <c r="V65" i="170"/>
  <c r="W79" i="170"/>
  <c r="V387" i="170"/>
  <c r="W386" i="170"/>
  <c r="W59" i="170"/>
  <c r="V42" i="170"/>
  <c r="Q303" i="170"/>
  <c r="V209" i="170"/>
  <c r="V381" i="170"/>
  <c r="W137" i="170"/>
  <c r="V8" i="170"/>
  <c r="W243" i="170"/>
  <c r="W54" i="170"/>
  <c r="T370" i="170"/>
  <c r="Q370" i="170" s="1"/>
  <c r="W91" i="170"/>
  <c r="W370" i="170"/>
  <c r="R370" i="170" s="1"/>
  <c r="W92" i="170"/>
  <c r="V384" i="170"/>
  <c r="P369" i="170"/>
  <c r="AN60" i="1" s="1"/>
  <c r="S304" i="170"/>
  <c r="AO390" i="1" s="1"/>
  <c r="X8" i="170"/>
  <c r="R7" i="170"/>
  <c r="R367" i="170"/>
  <c r="U369" i="170"/>
  <c r="U249" i="170"/>
  <c r="W6" i="170"/>
  <c r="W55" i="170"/>
  <c r="Q304" i="170"/>
  <c r="W248" i="170"/>
  <c r="V317" i="170"/>
  <c r="T367" i="170"/>
  <c r="V136" i="170"/>
  <c r="V320" i="170"/>
  <c r="P249" i="170"/>
  <c r="AN227" i="1" s="1"/>
  <c r="R70" i="170"/>
  <c r="U156" i="170"/>
  <c r="R156" i="170" s="1"/>
  <c r="R368" i="170"/>
  <c r="P156" i="170"/>
  <c r="AN391" i="1" s="1"/>
  <c r="Q172" i="170"/>
  <c r="P172" i="170"/>
  <c r="AN273" i="1" s="1"/>
  <c r="W207" i="170"/>
  <c r="W87" i="170"/>
  <c r="W201" i="170"/>
  <c r="V228" i="170"/>
  <c r="V74" i="170"/>
  <c r="W321" i="170"/>
  <c r="W200" i="170"/>
  <c r="W62" i="170"/>
  <c r="X367" i="170"/>
  <c r="V218" i="170"/>
  <c r="V135" i="170"/>
  <c r="W390" i="170"/>
  <c r="R173" i="170"/>
  <c r="W234" i="170"/>
  <c r="P367" i="170"/>
  <c r="AN47" i="1" s="1"/>
  <c r="Q248" i="170"/>
  <c r="U248" i="170"/>
  <c r="V37" i="170"/>
  <c r="W53" i="170"/>
  <c r="W143" i="170"/>
  <c r="V148" i="170"/>
  <c r="V150" i="170"/>
  <c r="V367" i="170"/>
  <c r="S367" i="170" s="1"/>
  <c r="AO47" i="1" s="1"/>
  <c r="V396" i="170"/>
  <c r="V139" i="170"/>
  <c r="W241" i="170"/>
  <c r="V216" i="170"/>
  <c r="W38" i="170"/>
  <c r="W331" i="170"/>
  <c r="Q369" i="170"/>
  <c r="W239" i="170"/>
  <c r="W48" i="170"/>
  <c r="V318" i="170"/>
  <c r="V39" i="170"/>
  <c r="W316" i="170"/>
  <c r="W229" i="170"/>
  <c r="V141" i="170"/>
  <c r="P248" i="170"/>
  <c r="AN154" i="1" s="1"/>
  <c r="V238" i="170"/>
  <c r="R29" i="170"/>
  <c r="P368" i="170"/>
  <c r="AN179" i="1" s="1"/>
  <c r="T8" i="170"/>
  <c r="V226" i="170"/>
  <c r="R8" i="170"/>
  <c r="P7" i="170"/>
  <c r="AN74" i="1" s="1"/>
  <c r="W231" i="170"/>
  <c r="W376" i="170"/>
  <c r="V394" i="170"/>
  <c r="P8" i="170"/>
  <c r="AN102" i="1" s="1"/>
  <c r="W28" i="170"/>
  <c r="R28" i="170" s="1"/>
  <c r="P247" i="170"/>
  <c r="AN184" i="1" s="1"/>
  <c r="W67" i="170"/>
  <c r="W230" i="170"/>
  <c r="V46" i="170"/>
  <c r="W221" i="170"/>
  <c r="V247" i="170"/>
  <c r="V50" i="170"/>
  <c r="W64" i="170"/>
  <c r="V84" i="170"/>
  <c r="W68" i="170"/>
  <c r="V372" i="170"/>
  <c r="V78" i="170"/>
  <c r="P28" i="170"/>
  <c r="AN229" i="1" s="1"/>
  <c r="W41" i="170"/>
  <c r="V236" i="170"/>
  <c r="V7" i="170"/>
  <c r="W220" i="170"/>
  <c r="V90" i="170"/>
  <c r="X7" i="170"/>
  <c r="V205" i="170"/>
  <c r="V76" i="170"/>
  <c r="V373" i="170"/>
  <c r="W36" i="170"/>
  <c r="W75" i="170"/>
  <c r="V75" i="170"/>
  <c r="T250" i="170"/>
  <c r="U250" i="170"/>
  <c r="O296" i="170"/>
  <c r="V213" i="170"/>
  <c r="O107" i="170"/>
  <c r="W107" i="170" s="1"/>
  <c r="O290" i="170"/>
  <c r="W290" i="170" s="1"/>
  <c r="O114" i="170"/>
  <c r="W114" i="170" s="1"/>
  <c r="O19" i="170"/>
  <c r="V19" i="170" s="1"/>
  <c r="O253" i="170"/>
  <c r="V253" i="170" s="1"/>
  <c r="O177" i="170"/>
  <c r="V177" i="170" s="1"/>
  <c r="O121" i="170"/>
  <c r="V121" i="170" s="1"/>
  <c r="O287" i="170"/>
  <c r="V287" i="170" s="1"/>
  <c r="N329" i="170"/>
  <c r="T329" i="170" s="1"/>
  <c r="Q329" i="170" s="1"/>
  <c r="O274" i="170"/>
  <c r="V274" i="170" s="1"/>
  <c r="O98" i="170"/>
  <c r="V98" i="170" s="1"/>
  <c r="O15" i="170"/>
  <c r="W15" i="170" s="1"/>
  <c r="O254" i="170"/>
  <c r="V254" i="170" s="1"/>
  <c r="O190" i="170"/>
  <c r="V190" i="170" s="1"/>
  <c r="N69" i="170"/>
  <c r="P69" i="170" s="1"/>
  <c r="AN293" i="1" s="1"/>
  <c r="O14" i="170"/>
  <c r="V14" i="170" s="1"/>
  <c r="N93" i="170"/>
  <c r="T93" i="170" s="1"/>
  <c r="Q93" i="170" s="1"/>
  <c r="N85" i="170"/>
  <c r="U85" i="170" s="1"/>
  <c r="R85" i="170" s="1"/>
  <c r="O111" i="170"/>
  <c r="W111" i="170" s="1"/>
  <c r="O278" i="170"/>
  <c r="V278" i="170" s="1"/>
  <c r="O192" i="170"/>
  <c r="W192" i="170" s="1"/>
  <c r="N332" i="170"/>
  <c r="O259" i="170"/>
  <c r="O309" i="170"/>
  <c r="O269" i="170"/>
  <c r="W269" i="170" s="1"/>
  <c r="N333" i="170"/>
  <c r="O112" i="170"/>
  <c r="O265" i="170"/>
  <c r="O178" i="170"/>
  <c r="N32" i="170"/>
  <c r="O264" i="170"/>
  <c r="V382" i="170"/>
  <c r="Q29" i="170"/>
  <c r="V140" i="170"/>
  <c r="W250" i="170"/>
  <c r="W206" i="170"/>
  <c r="V206" i="170"/>
  <c r="W391" i="170"/>
  <c r="V391" i="170"/>
  <c r="V366" i="170"/>
  <c r="W366" i="170"/>
  <c r="V44" i="170"/>
  <c r="W44" i="170"/>
  <c r="W223" i="170"/>
  <c r="V223" i="170"/>
  <c r="T247" i="170"/>
  <c r="U247" i="170"/>
  <c r="S305" i="170"/>
  <c r="AO384" i="1" s="1"/>
  <c r="Q305" i="170"/>
  <c r="W395" i="170"/>
  <c r="V395" i="170"/>
  <c r="S302" i="170"/>
  <c r="AO392" i="1" s="1"/>
  <c r="Q302" i="170"/>
  <c r="W219" i="170"/>
  <c r="V219" i="170"/>
  <c r="X70" i="170"/>
  <c r="W227" i="170"/>
  <c r="V227" i="170"/>
  <c r="V378" i="170"/>
  <c r="W378" i="170"/>
  <c r="X302" i="170"/>
  <c r="R302" i="170"/>
  <c r="T6" i="170"/>
  <c r="U6" i="170"/>
  <c r="X6" i="170" s="1"/>
  <c r="O117" i="170"/>
  <c r="V117" i="170" s="1"/>
  <c r="O104" i="170"/>
  <c r="O115" i="170"/>
  <c r="W115" i="170" s="1"/>
  <c r="O108" i="170"/>
  <c r="W108" i="170" s="1"/>
  <c r="O271" i="170"/>
  <c r="V271" i="170" s="1"/>
  <c r="O181" i="170"/>
  <c r="V181" i="170" s="1"/>
  <c r="O262" i="170"/>
  <c r="V262" i="170" s="1"/>
  <c r="O194" i="170"/>
  <c r="V194" i="170" s="1"/>
  <c r="O101" i="170"/>
  <c r="V101" i="170" s="1"/>
  <c r="O300" i="170"/>
  <c r="W300" i="170" s="1"/>
  <c r="O293" i="170"/>
  <c r="W293" i="170" s="1"/>
  <c r="O118" i="170"/>
  <c r="W118" i="170" s="1"/>
  <c r="O183" i="170"/>
  <c r="O23" i="170"/>
  <c r="O188" i="170"/>
  <c r="O125" i="170"/>
  <c r="W66" i="170"/>
  <c r="V66" i="170"/>
  <c r="P173" i="170"/>
  <c r="AN152" i="1" s="1"/>
  <c r="T173" i="170"/>
  <c r="V244" i="170"/>
  <c r="W244" i="170"/>
  <c r="W392" i="170"/>
  <c r="V392" i="170"/>
  <c r="R305" i="170"/>
  <c r="X305" i="170"/>
  <c r="V319" i="170"/>
  <c r="W319" i="170"/>
  <c r="W199" i="170"/>
  <c r="V199" i="170"/>
  <c r="W383" i="170"/>
  <c r="V383" i="170"/>
  <c r="W385" i="170"/>
  <c r="V385" i="170"/>
  <c r="O196" i="170"/>
  <c r="W196" i="170" s="1"/>
  <c r="O257" i="170"/>
  <c r="V257" i="170" s="1"/>
  <c r="O119" i="170"/>
  <c r="W119" i="170" s="1"/>
  <c r="O103" i="170"/>
  <c r="V103" i="170" s="1"/>
  <c r="N330" i="170"/>
  <c r="P330" i="170" s="1"/>
  <c r="AN39" i="1" s="1"/>
  <c r="O258" i="170"/>
  <c r="W258" i="170" s="1"/>
  <c r="O313" i="170"/>
  <c r="W313" i="170" s="1"/>
  <c r="O310" i="170"/>
  <c r="W310" i="170" s="1"/>
  <c r="O292" i="170"/>
  <c r="V292" i="170" s="1"/>
  <c r="O99" i="170"/>
  <c r="W99" i="170" s="1"/>
  <c r="O21" i="170"/>
  <c r="V21" i="170" s="1"/>
  <c r="O182" i="170"/>
  <c r="O291" i="170"/>
  <c r="V291" i="170" s="1"/>
  <c r="O284" i="170"/>
  <c r="O94" i="170"/>
  <c r="W94" i="170" s="1"/>
  <c r="O295" i="170"/>
  <c r="O268" i="170"/>
  <c r="W30" i="170"/>
  <c r="P30" i="170"/>
  <c r="AN222" i="1" s="1"/>
  <c r="V30" i="170"/>
  <c r="X173" i="170"/>
  <c r="N84" i="170"/>
  <c r="T84" i="170" s="1"/>
  <c r="O256" i="170"/>
  <c r="W256" i="170" s="1"/>
  <c r="O197" i="170"/>
  <c r="V197" i="170" s="1"/>
  <c r="O20" i="170"/>
  <c r="W20" i="170" s="1"/>
  <c r="O306" i="170"/>
  <c r="V306" i="170" s="1"/>
  <c r="W40" i="170"/>
  <c r="W63" i="170"/>
  <c r="W329" i="170"/>
  <c r="W242" i="170"/>
  <c r="V328" i="170"/>
  <c r="V35" i="170"/>
  <c r="R13" i="170"/>
  <c r="X13" i="170"/>
  <c r="W51" i="170"/>
  <c r="V51" i="170"/>
  <c r="W86" i="170"/>
  <c r="V86" i="170"/>
  <c r="W73" i="170"/>
  <c r="V73" i="170"/>
  <c r="X71" i="170"/>
  <c r="V82" i="170"/>
  <c r="W82" i="170"/>
  <c r="O126" i="170"/>
  <c r="V208" i="170"/>
  <c r="W208" i="170"/>
  <c r="O113" i="170"/>
  <c r="W113" i="170" s="1"/>
  <c r="O299" i="170"/>
  <c r="O267" i="170"/>
  <c r="O186" i="170"/>
  <c r="O110" i="170"/>
  <c r="O286" i="170"/>
  <c r="W225" i="170"/>
  <c r="V225" i="170"/>
  <c r="W374" i="170"/>
  <c r="V374" i="170"/>
  <c r="W88" i="170"/>
  <c r="V88" i="170"/>
  <c r="V224" i="170"/>
  <c r="W224" i="170"/>
  <c r="N82" i="170"/>
  <c r="W217" i="170"/>
  <c r="V217" i="170"/>
  <c r="O195" i="170"/>
  <c r="W195" i="170" s="1"/>
  <c r="N34" i="170"/>
  <c r="U34" i="170" s="1"/>
  <c r="R34" i="170" s="1"/>
  <c r="P250" i="170"/>
  <c r="AN185" i="1" s="1"/>
  <c r="O17" i="170"/>
  <c r="V17" i="170" s="1"/>
  <c r="N87" i="170"/>
  <c r="U87" i="170" s="1"/>
  <c r="R87" i="170" s="1"/>
  <c r="O102" i="170"/>
  <c r="W102" i="170" s="1"/>
  <c r="O266" i="170"/>
  <c r="W266" i="170" s="1"/>
  <c r="O275" i="170"/>
  <c r="W275" i="170" s="1"/>
  <c r="O311" i="170"/>
  <c r="W311" i="170" s="1"/>
  <c r="O22" i="170"/>
  <c r="W22" i="170" s="1"/>
  <c r="O189" i="170"/>
  <c r="W189" i="170" s="1"/>
  <c r="O109" i="170"/>
  <c r="W109" i="170" s="1"/>
  <c r="N155" i="170"/>
  <c r="U155" i="170" s="1"/>
  <c r="R155" i="170" s="1"/>
  <c r="N89" i="170"/>
  <c r="U89" i="170" s="1"/>
  <c r="R89" i="170" s="1"/>
  <c r="O95" i="170"/>
  <c r="W95" i="170" s="1"/>
  <c r="O263" i="170"/>
  <c r="V263" i="170" s="1"/>
  <c r="O276" i="170"/>
  <c r="W276" i="170" s="1"/>
  <c r="O314" i="170"/>
  <c r="V314" i="170" s="1"/>
  <c r="O191" i="170"/>
  <c r="V191" i="170" s="1"/>
  <c r="O281" i="170"/>
  <c r="W281" i="170" s="1"/>
  <c r="P6" i="170"/>
  <c r="AN251" i="1" s="1"/>
  <c r="O124" i="170"/>
  <c r="V124" i="170" s="1"/>
  <c r="O24" i="170"/>
  <c r="V24" i="170" s="1"/>
  <c r="O280" i="170"/>
  <c r="V280" i="170" s="1"/>
  <c r="O307" i="170"/>
  <c r="W307" i="170" s="1"/>
  <c r="O116" i="170"/>
  <c r="V116" i="170" s="1"/>
  <c r="O285" i="170"/>
  <c r="W285" i="170" s="1"/>
  <c r="O97" i="170"/>
  <c r="V97" i="170" s="1"/>
  <c r="O176" i="170"/>
  <c r="W176" i="170" s="1"/>
  <c r="P370" i="170"/>
  <c r="AN253" i="1" s="1"/>
  <c r="V327" i="170"/>
  <c r="S13" i="170"/>
  <c r="AO396" i="1" s="1"/>
  <c r="Q13" i="170"/>
  <c r="V47" i="170"/>
  <c r="W47" i="170"/>
  <c r="O96" i="170"/>
  <c r="W96" i="170" s="1"/>
  <c r="O288" i="170"/>
  <c r="N315" i="170"/>
  <c r="O252" i="170"/>
  <c r="W252" i="170" s="1"/>
  <c r="V246" i="170"/>
  <c r="V245" i="170"/>
  <c r="W214" i="170"/>
  <c r="W56" i="170"/>
  <c r="W371" i="170"/>
  <c r="V49" i="170"/>
  <c r="V379" i="170"/>
  <c r="T368" i="170"/>
  <c r="V134" i="170"/>
  <c r="S71" i="170"/>
  <c r="AO269" i="1" s="1"/>
  <c r="Q71" i="170"/>
  <c r="T366" i="170"/>
  <c r="U366" i="170"/>
  <c r="P366" i="170"/>
  <c r="AN153" i="1" s="1"/>
  <c r="V45" i="170"/>
  <c r="W45" i="170"/>
  <c r="V240" i="170"/>
  <c r="W240" i="170"/>
  <c r="V43" i="170"/>
  <c r="W43" i="170"/>
  <c r="X304" i="170"/>
  <c r="R304" i="170"/>
  <c r="O255" i="170"/>
  <c r="N83" i="170"/>
  <c r="T83" i="170" s="1"/>
  <c r="Q83" i="170" s="1"/>
  <c r="O297" i="170"/>
  <c r="W297" i="170" s="1"/>
  <c r="O127" i="170"/>
  <c r="W127" i="170" s="1"/>
  <c r="O122" i="170"/>
  <c r="V122" i="170" s="1"/>
  <c r="O273" i="170"/>
  <c r="V273" i="170" s="1"/>
  <c r="O185" i="170"/>
  <c r="V185" i="170" s="1"/>
  <c r="N233" i="170"/>
  <c r="T233" i="170" s="1"/>
  <c r="Q233" i="170" s="1"/>
  <c r="O261" i="170"/>
  <c r="W261" i="170" s="1"/>
  <c r="O312" i="170"/>
  <c r="V312" i="170" s="1"/>
  <c r="O298" i="170"/>
  <c r="W298" i="170" s="1"/>
  <c r="N81" i="170"/>
  <c r="T81" i="170" s="1"/>
  <c r="Q81" i="170" s="1"/>
  <c r="O106" i="170"/>
  <c r="V106" i="170" s="1"/>
  <c r="O18" i="170"/>
  <c r="V18" i="170" s="1"/>
  <c r="O279" i="170"/>
  <c r="W279" i="170" s="1"/>
  <c r="O180" i="170"/>
  <c r="V180" i="170" s="1"/>
  <c r="N365" i="170"/>
  <c r="T365" i="170" s="1"/>
  <c r="Q365" i="170" s="1"/>
  <c r="O100" i="170"/>
  <c r="W100" i="170" s="1"/>
  <c r="O179" i="170"/>
  <c r="W179" i="170" s="1"/>
  <c r="N331" i="170"/>
  <c r="P331" i="170" s="1"/>
  <c r="AN266" i="1" s="1"/>
  <c r="O123" i="170"/>
  <c r="W123" i="170" s="1"/>
  <c r="O289" i="170"/>
  <c r="V289" i="170" s="1"/>
  <c r="O283" i="170"/>
  <c r="W283" i="170" s="1"/>
  <c r="N86" i="170"/>
  <c r="P86" i="170" s="1"/>
  <c r="AN192" i="1" s="1"/>
  <c r="O16" i="170"/>
  <c r="V16" i="170" s="1"/>
  <c r="O184" i="170"/>
  <c r="W184" i="170" s="1"/>
  <c r="O129" i="170"/>
  <c r="V129" i="170" s="1"/>
  <c r="O187" i="170"/>
  <c r="W187" i="170" s="1"/>
  <c r="N88" i="170"/>
  <c r="O120" i="170"/>
  <c r="W120" i="170" s="1"/>
  <c r="O294" i="170"/>
  <c r="V294" i="170" s="1"/>
  <c r="O301" i="170"/>
  <c r="V301" i="170" s="1"/>
  <c r="O308" i="170"/>
  <c r="V308" i="170" s="1"/>
  <c r="O128" i="170"/>
  <c r="O260" i="170"/>
  <c r="W260" i="170" s="1"/>
  <c r="V389" i="170"/>
  <c r="W389" i="170"/>
  <c r="V249" i="170"/>
  <c r="W249" i="170"/>
  <c r="V80" i="170"/>
  <c r="W80" i="170"/>
  <c r="W330" i="170"/>
  <c r="V330" i="170"/>
  <c r="W57" i="170"/>
  <c r="V57" i="170"/>
  <c r="S70" i="170"/>
  <c r="AO155" i="1" s="1"/>
  <c r="Q70" i="170"/>
  <c r="V235" i="170"/>
  <c r="W235" i="170"/>
  <c r="AM299" i="1"/>
  <c r="AK299" i="1"/>
  <c r="AM297" i="1"/>
  <c r="AK297" i="1"/>
  <c r="AM108" i="1"/>
  <c r="AK108" i="1"/>
  <c r="AM25" i="1"/>
  <c r="AK25" i="1"/>
  <c r="AM142" i="1"/>
  <c r="AK142" i="1"/>
  <c r="AM68" i="1"/>
  <c r="AK68" i="1"/>
  <c r="AM75" i="1"/>
  <c r="AK75" i="1"/>
  <c r="AM288" i="1"/>
  <c r="AK288" i="1"/>
  <c r="AM311" i="1"/>
  <c r="AK311" i="1"/>
  <c r="AM123" i="1"/>
  <c r="AK123" i="1"/>
  <c r="AM121" i="1"/>
  <c r="AK121" i="1"/>
  <c r="AM95" i="1"/>
  <c r="AK95" i="1"/>
  <c r="AM219" i="1"/>
  <c r="AK219" i="1"/>
  <c r="AM99" i="1"/>
  <c r="AK99" i="1"/>
  <c r="AM248" i="1"/>
  <c r="AK248" i="1"/>
  <c r="AM27" i="1"/>
  <c r="AK27" i="1"/>
  <c r="AM364" i="1"/>
  <c r="AK364" i="1"/>
  <c r="AM51" i="1"/>
  <c r="AK51" i="1"/>
  <c r="AM65" i="1"/>
  <c r="AK65" i="1"/>
  <c r="AM69" i="1"/>
  <c r="AK69" i="1"/>
  <c r="AM64" i="1"/>
  <c r="AK64" i="1"/>
  <c r="AM89" i="1"/>
  <c r="AK89" i="1"/>
  <c r="AM52" i="1"/>
  <c r="AK52" i="1"/>
  <c r="AM131" i="1"/>
  <c r="AK131" i="1"/>
  <c r="AM32" i="1"/>
  <c r="AK32" i="1"/>
  <c r="AM210" i="1"/>
  <c r="AK210" i="1"/>
  <c r="AM120" i="1"/>
  <c r="AK120" i="1"/>
  <c r="AM143" i="1"/>
  <c r="AK143" i="1"/>
  <c r="AM237" i="1"/>
  <c r="AK237" i="1"/>
  <c r="AM249" i="1"/>
  <c r="AK249" i="1"/>
  <c r="AM58" i="1"/>
  <c r="AK58" i="1"/>
  <c r="AM119" i="1"/>
  <c r="AK119" i="1"/>
  <c r="AM354" i="1"/>
  <c r="AK354" i="1"/>
  <c r="AM90" i="1"/>
  <c r="AK90" i="1"/>
  <c r="AM263" i="1"/>
  <c r="AK263" i="1"/>
  <c r="AM352" i="1"/>
  <c r="AK352" i="1"/>
  <c r="AM361" i="1"/>
  <c r="AK361" i="1"/>
  <c r="AM183" i="1"/>
  <c r="AK183" i="1"/>
  <c r="AM24" i="1"/>
  <c r="AK24" i="1"/>
  <c r="AM61" i="1"/>
  <c r="AK61" i="1"/>
  <c r="AM323" i="1"/>
  <c r="AK323" i="1"/>
  <c r="AM116" i="1"/>
  <c r="AK116" i="1"/>
  <c r="AM118" i="1"/>
  <c r="AK118" i="1"/>
  <c r="AM106" i="1"/>
  <c r="AK106" i="1"/>
  <c r="AM112" i="1"/>
  <c r="AK112" i="1"/>
  <c r="AM206" i="1"/>
  <c r="AK206" i="1"/>
  <c r="AM46" i="1"/>
  <c r="AK46" i="1"/>
  <c r="AM267" i="1"/>
  <c r="AK267" i="1"/>
  <c r="AM63" i="1"/>
  <c r="AK63" i="1"/>
  <c r="AM268" i="1"/>
  <c r="AK268" i="1"/>
  <c r="AM330" i="1"/>
  <c r="AK330" i="1"/>
  <c r="AM289" i="1"/>
  <c r="AK289" i="1"/>
  <c r="AM23" i="1"/>
  <c r="AK23" i="1"/>
  <c r="AM202" i="1"/>
  <c r="AK202" i="1"/>
  <c r="AM124" i="1"/>
  <c r="AK124" i="1"/>
  <c r="AM43" i="1"/>
  <c r="AK43" i="1"/>
  <c r="AM42" i="1"/>
  <c r="AK42" i="1"/>
  <c r="AM170" i="1"/>
  <c r="AK170" i="1"/>
  <c r="AM84" i="1"/>
  <c r="AK84" i="1"/>
  <c r="AM241" i="1"/>
  <c r="AK241" i="1"/>
  <c r="AM182" i="1"/>
  <c r="AK182" i="1"/>
  <c r="AM291" i="1"/>
  <c r="AK291" i="1"/>
  <c r="AM246" i="1"/>
  <c r="AK246" i="1"/>
  <c r="AM214" i="1"/>
  <c r="AK214" i="1"/>
  <c r="AM107" i="1"/>
  <c r="AK107" i="1"/>
  <c r="AM109" i="1"/>
  <c r="AK109" i="1"/>
  <c r="AM88" i="1"/>
  <c r="AK88" i="1"/>
  <c r="AM135" i="1"/>
  <c r="AK135" i="1"/>
  <c r="AM236" i="1"/>
  <c r="AK236" i="1"/>
  <c r="AM261" i="1"/>
  <c r="AK261" i="1"/>
  <c r="AM274" i="1"/>
  <c r="AK274" i="1"/>
  <c r="AM79" i="1"/>
  <c r="AK79" i="1"/>
  <c r="AM103" i="1"/>
  <c r="AK103" i="1"/>
  <c r="AM34" i="1"/>
  <c r="AK34" i="1"/>
  <c r="AM211" i="1"/>
  <c r="AK211" i="1"/>
  <c r="AM91" i="1"/>
  <c r="AK91" i="1"/>
  <c r="AM385" i="1"/>
  <c r="AK385" i="1"/>
  <c r="AM40" i="1"/>
  <c r="AK40" i="1"/>
  <c r="AM277" i="1"/>
  <c r="AK277" i="1"/>
  <c r="AM315" i="1"/>
  <c r="AK315" i="1"/>
  <c r="AM272" i="1"/>
  <c r="AK272" i="1"/>
  <c r="AM126" i="1"/>
  <c r="AK126" i="1"/>
  <c r="AM122" i="1"/>
  <c r="AK122" i="1"/>
  <c r="AM275" i="1"/>
  <c r="AK275" i="1"/>
  <c r="X29" i="170"/>
  <c r="AM149" i="1"/>
  <c r="AK149" i="1"/>
  <c r="AM159" i="1"/>
  <c r="AK159" i="1"/>
  <c r="AM186" i="1"/>
  <c r="AK186" i="1"/>
  <c r="AM105" i="1"/>
  <c r="AK105" i="1"/>
  <c r="AM117" i="1"/>
  <c r="AK117" i="1"/>
  <c r="AM67" i="1"/>
  <c r="AK67" i="1"/>
  <c r="AM314" i="1"/>
  <c r="AK314" i="1"/>
  <c r="AM200" i="1"/>
  <c r="AK200" i="1"/>
  <c r="AM125" i="1"/>
  <c r="AK125" i="1"/>
  <c r="AM114" i="1"/>
  <c r="AK114" i="1"/>
  <c r="AM31" i="1"/>
  <c r="AK31" i="1"/>
  <c r="AM41" i="1"/>
  <c r="AK41" i="1"/>
  <c r="AM209" i="1"/>
  <c r="AK209" i="1"/>
  <c r="AM212" i="1"/>
  <c r="AK212" i="1"/>
  <c r="AM80" i="1"/>
  <c r="AK80" i="1"/>
  <c r="AM368" i="1"/>
  <c r="AK368" i="1"/>
  <c r="AM270" i="1"/>
  <c r="AK270" i="1"/>
  <c r="AM70" i="1"/>
  <c r="AK70" i="1"/>
  <c r="AM62" i="1"/>
  <c r="AK62" i="1"/>
  <c r="AM239" i="1"/>
  <c r="AK239" i="1"/>
  <c r="AM213" i="1"/>
  <c r="AK213" i="1"/>
  <c r="AM363" i="1"/>
  <c r="AK363" i="1"/>
  <c r="AM59" i="1"/>
  <c r="AK59" i="1"/>
  <c r="AM223" i="1"/>
  <c r="AK223" i="1"/>
  <c r="AM111" i="1"/>
  <c r="AK111" i="1"/>
  <c r="AM148" i="1"/>
  <c r="AK148" i="1"/>
  <c r="AM53" i="1"/>
  <c r="AK53" i="1"/>
  <c r="AI49" i="1"/>
  <c r="AI286" i="1"/>
  <c r="AI345" i="1"/>
  <c r="AI215" i="1"/>
  <c r="AI35" i="1"/>
  <c r="AI260" i="1"/>
  <c r="AI217" i="1"/>
  <c r="AI356" i="1"/>
  <c r="AI50" i="1"/>
  <c r="AI28" i="1"/>
  <c r="AI346" i="1"/>
  <c r="AI29" i="1"/>
  <c r="AI259" i="1"/>
  <c r="AI164" i="1"/>
  <c r="AI22" i="1"/>
  <c r="AI362" i="1"/>
  <c r="AI203" i="1"/>
  <c r="AI113" i="1"/>
  <c r="AI204" i="1"/>
  <c r="AI313" i="1"/>
  <c r="AI87" i="1"/>
  <c r="AI151" i="1"/>
  <c r="AI252" i="1"/>
  <c r="AI298" i="1"/>
  <c r="AI371" i="1"/>
  <c r="AI26" i="1"/>
  <c r="AI127" i="1"/>
  <c r="AI301" i="1"/>
  <c r="AI318" i="1"/>
  <c r="AI375" i="1"/>
  <c r="AI378" i="1"/>
  <c r="AI386" i="1"/>
  <c r="AI319" i="1"/>
  <c r="AI156" i="1"/>
  <c r="AI180" i="1"/>
  <c r="AI205" i="1"/>
  <c r="AI324" i="1"/>
  <c r="AI256" i="1"/>
  <c r="AI258" i="1"/>
  <c r="AI353" i="1"/>
  <c r="AI255" i="1"/>
  <c r="AI374" i="1"/>
  <c r="AI370" i="1"/>
  <c r="AI9" i="1"/>
  <c r="AI48" i="1"/>
  <c r="AI56" i="1"/>
  <c r="AI128" i="1"/>
  <c r="AI296" i="1"/>
  <c r="AI20" i="1"/>
  <c r="AI57" i="1"/>
  <c r="AI130" i="1"/>
  <c r="AI175" i="1"/>
  <c r="AI285" i="1"/>
  <c r="AI294" i="1"/>
  <c r="AI320" i="1"/>
  <c r="AI328" i="1"/>
  <c r="AI344" i="1"/>
  <c r="AI295" i="1"/>
  <c r="AI329" i="1"/>
  <c r="AI337" i="1"/>
  <c r="AI377" i="1"/>
  <c r="AI188" i="1"/>
  <c r="AI331" i="1"/>
  <c r="AI355" i="1"/>
  <c r="AI387" i="1"/>
  <c r="AI44" i="1"/>
  <c r="AI300" i="1"/>
  <c r="AI333" i="1"/>
  <c r="AI341" i="1"/>
  <c r="AI349" i="1"/>
  <c r="AI365" i="1"/>
  <c r="AI36" i="1"/>
  <c r="AI137" i="1"/>
  <c r="AI191" i="1"/>
  <c r="AI283" i="1"/>
  <c r="AI310" i="1"/>
  <c r="AI334" i="1"/>
  <c r="AI382" i="1"/>
  <c r="AI284" i="1"/>
  <c r="AI372" i="1"/>
  <c r="AI19" i="1"/>
  <c r="AI332" i="1"/>
  <c r="AI193" i="1"/>
  <c r="AI359" i="1"/>
  <c r="AI134" i="1"/>
  <c r="AI150" i="1"/>
  <c r="AI174" i="1"/>
  <c r="AI129" i="1"/>
  <c r="AI383" i="1"/>
  <c r="AI233" i="1"/>
  <c r="AI38" i="1"/>
  <c r="AI336" i="1"/>
  <c r="AI243" i="1"/>
  <c r="AI339" i="1"/>
  <c r="AI342" i="1"/>
  <c r="AI189" i="1"/>
  <c r="AI338" i="1"/>
  <c r="AI281" i="1"/>
  <c r="AI136" i="1"/>
  <c r="AI264" i="1"/>
  <c r="AI139" i="1"/>
  <c r="AI140" i="1"/>
  <c r="AI231" i="1"/>
  <c r="AI369" i="1"/>
  <c r="AI379" i="1"/>
  <c r="AI190" i="1"/>
  <c r="AI199" i="1"/>
  <c r="AI282" i="1"/>
  <c r="AI201" i="1"/>
  <c r="AI265" i="1"/>
  <c r="AI358" i="1"/>
  <c r="AI366" i="1"/>
  <c r="AI138" i="1"/>
  <c r="AI141" i="1"/>
  <c r="AI262" i="1"/>
  <c r="AI86" i="1"/>
  <c r="AI335" i="1"/>
  <c r="AI380" i="1"/>
  <c r="AI340" i="1"/>
  <c r="AI343" i="1"/>
  <c r="AI144" i="1"/>
  <c r="AI176" i="1"/>
  <c r="AI232" i="1"/>
  <c r="AI240" i="1"/>
  <c r="AI304" i="1"/>
  <c r="AI166" i="1"/>
  <c r="AI194" i="1"/>
  <c r="AI230" i="1"/>
  <c r="AI303" i="1"/>
  <c r="AI167" i="1"/>
  <c r="AI177" i="1"/>
  <c r="AI195" i="1"/>
  <c r="AI305" i="1"/>
  <c r="AI321" i="1"/>
  <c r="AI161" i="1"/>
  <c r="AI197" i="1"/>
  <c r="AI234" i="1"/>
  <c r="AI307" i="1"/>
  <c r="AI145" i="1"/>
  <c r="AI172" i="1"/>
  <c r="AI309" i="1"/>
  <c r="AI173" i="1"/>
  <c r="AI235" i="1"/>
  <c r="AI308" i="1"/>
  <c r="AI165" i="1"/>
  <c r="AI238" i="1"/>
  <c r="AI169" i="1"/>
  <c r="AI242" i="1"/>
  <c r="AI290" i="1"/>
  <c r="AI171" i="1"/>
  <c r="AI196" i="1"/>
  <c r="AI306" i="1"/>
  <c r="AI198" i="1"/>
  <c r="AI178" i="1"/>
  <c r="AI302" i="1"/>
  <c r="AI276" i="1"/>
  <c r="AI76" i="1"/>
  <c r="AI245" i="1"/>
  <c r="AI45" i="1"/>
  <c r="AI54" i="1"/>
  <c r="AI351" i="1"/>
  <c r="AI287" i="1"/>
  <c r="AI55" i="1"/>
  <c r="AI322" i="1"/>
  <c r="AI168" i="1"/>
  <c r="AI360" i="1"/>
  <c r="AI30" i="1"/>
  <c r="AI85" i="1"/>
  <c r="AI279" i="1"/>
  <c r="AI347" i="1"/>
  <c r="AI81" i="1"/>
  <c r="AI163" i="1"/>
  <c r="AI348" i="1"/>
  <c r="AI83" i="1"/>
  <c r="AI216" i="1"/>
  <c r="AI157" i="1"/>
  <c r="AI327" i="1"/>
  <c r="AI160" i="1"/>
  <c r="AI312" i="1"/>
  <c r="AI376" i="1"/>
  <c r="AI158" i="1"/>
  <c r="AI82" i="1"/>
  <c r="AI146" i="1"/>
  <c r="AI72" i="1"/>
  <c r="AI96" i="1"/>
  <c r="AI104" i="1"/>
  <c r="AI208" i="1"/>
  <c r="AI224" i="1"/>
  <c r="AI93" i="1"/>
  <c r="AI221" i="1"/>
  <c r="AI94" i="1"/>
  <c r="AI250" i="1"/>
  <c r="AI33" i="1"/>
  <c r="AI78" i="1"/>
  <c r="AI97" i="1"/>
  <c r="AI115" i="1"/>
  <c r="AI71" i="1"/>
  <c r="AI218" i="1"/>
  <c r="AI317" i="1"/>
  <c r="AI325" i="1"/>
  <c r="AI73" i="1"/>
  <c r="AI100" i="1"/>
  <c r="AI326" i="1"/>
  <c r="AI92" i="1"/>
  <c r="AI207" i="1"/>
  <c r="AI110" i="1"/>
  <c r="AI257" i="1"/>
  <c r="AI220" i="1"/>
  <c r="AI77" i="1"/>
  <c r="AI101" i="1"/>
  <c r="AI247" i="1"/>
  <c r="AI226" i="1"/>
  <c r="AI132" i="1"/>
  <c r="AI37" i="1"/>
  <c r="AI10" i="1"/>
  <c r="AK10" i="1" s="1"/>
  <c r="AI7" i="1"/>
  <c r="AI15" i="1"/>
  <c r="AI16" i="1"/>
  <c r="AI8" i="1"/>
  <c r="AK8" i="1" s="1"/>
  <c r="AI18" i="1"/>
  <c r="AI14" i="1"/>
  <c r="AI17" i="1"/>
  <c r="AI6" i="1"/>
  <c r="M59" i="71"/>
  <c r="O59" i="71" s="1"/>
  <c r="P59" i="71" s="1"/>
  <c r="AL6" i="1"/>
  <c r="O174" i="170" s="1"/>
  <c r="N28" i="71"/>
  <c r="N60" i="71"/>
  <c r="N56" i="71"/>
  <c r="AJ11" i="1"/>
  <c r="AL11" i="1"/>
  <c r="O175" i="170" s="1"/>
  <c r="AK11" i="1"/>
  <c r="AM11" i="1"/>
  <c r="N175" i="170" s="1"/>
  <c r="AJ8" i="1"/>
  <c r="AL8" i="1"/>
  <c r="O270" i="170" s="1"/>
  <c r="AJ18" i="1"/>
  <c r="AL18" i="1"/>
  <c r="AK12" i="1"/>
  <c r="AM12" i="1"/>
  <c r="AJ14" i="1"/>
  <c r="AL14" i="1"/>
  <c r="AJ15" i="1"/>
  <c r="AL15" i="1"/>
  <c r="X369" i="170" l="1"/>
  <c r="X248" i="170"/>
  <c r="X370" i="170"/>
  <c r="R369" i="170"/>
  <c r="S369" i="170"/>
  <c r="AO60" i="1" s="1"/>
  <c r="Q368" i="170"/>
  <c r="S248" i="170"/>
  <c r="AO154" i="1" s="1"/>
  <c r="X249" i="170"/>
  <c r="W253" i="170"/>
  <c r="V192" i="170"/>
  <c r="X85" i="170"/>
  <c r="S29" i="170"/>
  <c r="AO181" i="1" s="1"/>
  <c r="S172" i="170"/>
  <c r="AO273" i="1" s="1"/>
  <c r="X172" i="170"/>
  <c r="X31" i="170"/>
  <c r="S31" i="170"/>
  <c r="AO225" i="1" s="1"/>
  <c r="AA368" i="1"/>
  <c r="AA53" i="1"/>
  <c r="AA59" i="1"/>
  <c r="AA275" i="1"/>
  <c r="AA315" i="1"/>
  <c r="AA91" i="1"/>
  <c r="AA79" i="1"/>
  <c r="AA135" i="1"/>
  <c r="AA214" i="1"/>
  <c r="AA241" i="1"/>
  <c r="AA43" i="1"/>
  <c r="AA289" i="1"/>
  <c r="AA267" i="1"/>
  <c r="AA106" i="1"/>
  <c r="AA61" i="1"/>
  <c r="AA352" i="1"/>
  <c r="AA119" i="1"/>
  <c r="AA143" i="1"/>
  <c r="AA131" i="1"/>
  <c r="AA69" i="1"/>
  <c r="AA27" i="1"/>
  <c r="AA95" i="1"/>
  <c r="AA288" i="1"/>
  <c r="AA25" i="1"/>
  <c r="AA239" i="1"/>
  <c r="AA200" i="1"/>
  <c r="AA62" i="1"/>
  <c r="AA80" i="1"/>
  <c r="AA31" i="1"/>
  <c r="AA314" i="1"/>
  <c r="AA186" i="1"/>
  <c r="AA148" i="1"/>
  <c r="AA363" i="1"/>
  <c r="AA122" i="1"/>
  <c r="AA277" i="1"/>
  <c r="AA211" i="1"/>
  <c r="AA274" i="1"/>
  <c r="AA88" i="1"/>
  <c r="AA246" i="1"/>
  <c r="AA84" i="1"/>
  <c r="AA124" i="1"/>
  <c r="AA330" i="1"/>
  <c r="AA46" i="1"/>
  <c r="AA118" i="1"/>
  <c r="AA24" i="1"/>
  <c r="AA263" i="1"/>
  <c r="AA58" i="1"/>
  <c r="AA120" i="1"/>
  <c r="AA52" i="1"/>
  <c r="AA65" i="1"/>
  <c r="AA248" i="1"/>
  <c r="AA121" i="1"/>
  <c r="AA75" i="1"/>
  <c r="AA108" i="1"/>
  <c r="AA41" i="1"/>
  <c r="AA105" i="1"/>
  <c r="AA70" i="1"/>
  <c r="AA212" i="1"/>
  <c r="AA114" i="1"/>
  <c r="AA67" i="1"/>
  <c r="AA159" i="1"/>
  <c r="AA111" i="1"/>
  <c r="AA126" i="1"/>
  <c r="AA40" i="1"/>
  <c r="AA34" i="1"/>
  <c r="AA261" i="1"/>
  <c r="AA109" i="1"/>
  <c r="AA291" i="1"/>
  <c r="AA170" i="1"/>
  <c r="AA202" i="1"/>
  <c r="AA268" i="1"/>
  <c r="AA206" i="1"/>
  <c r="AA116" i="1"/>
  <c r="AA183" i="1"/>
  <c r="AA90" i="1"/>
  <c r="AA249" i="1"/>
  <c r="AA210" i="1"/>
  <c r="AA89" i="1"/>
  <c r="AA51" i="1"/>
  <c r="AA99" i="1"/>
  <c r="AA123" i="1"/>
  <c r="AA68" i="1"/>
  <c r="AA297" i="1"/>
  <c r="AA213" i="1"/>
  <c r="AA270" i="1"/>
  <c r="AA209" i="1"/>
  <c r="AA125" i="1"/>
  <c r="AA117" i="1"/>
  <c r="AA149" i="1"/>
  <c r="AA223" i="1"/>
  <c r="AA272" i="1"/>
  <c r="AA385" i="1"/>
  <c r="AA103" i="1"/>
  <c r="AA236" i="1"/>
  <c r="AA107" i="1"/>
  <c r="AA182" i="1"/>
  <c r="AA42" i="1"/>
  <c r="AA23" i="1"/>
  <c r="AA63" i="1"/>
  <c r="AA112" i="1"/>
  <c r="AA323" i="1"/>
  <c r="AA361" i="1"/>
  <c r="AA354" i="1"/>
  <c r="AA237" i="1"/>
  <c r="AA32" i="1"/>
  <c r="AA64" i="1"/>
  <c r="AA364" i="1"/>
  <c r="AA219" i="1"/>
  <c r="AA311" i="1"/>
  <c r="AA142" i="1"/>
  <c r="AA299" i="1"/>
  <c r="S370" i="170"/>
  <c r="AO253" i="1" s="1"/>
  <c r="Q7" i="170"/>
  <c r="W291" i="170"/>
  <c r="S8" i="170"/>
  <c r="AO102" i="1" s="1"/>
  <c r="Q8" i="170"/>
  <c r="S28" i="170"/>
  <c r="AO229" i="1" s="1"/>
  <c r="T155" i="170"/>
  <c r="Q155" i="170" s="1"/>
  <c r="V22" i="170"/>
  <c r="V307" i="170"/>
  <c r="W17" i="170"/>
  <c r="Q367" i="170"/>
  <c r="V313" i="170"/>
  <c r="R248" i="170"/>
  <c r="V196" i="170"/>
  <c r="S156" i="170"/>
  <c r="AO391" i="1" s="1"/>
  <c r="P93" i="170"/>
  <c r="AN292" i="1" s="1"/>
  <c r="S368" i="170"/>
  <c r="AO179" i="1" s="1"/>
  <c r="U329" i="170"/>
  <c r="R329" i="170" s="1"/>
  <c r="P329" i="170"/>
  <c r="AN350" i="1" s="1"/>
  <c r="X156" i="170"/>
  <c r="U330" i="170"/>
  <c r="X330" i="170" s="1"/>
  <c r="T330" i="170"/>
  <c r="Q330" i="170" s="1"/>
  <c r="P83" i="170"/>
  <c r="AN254" i="1" s="1"/>
  <c r="U93" i="170"/>
  <c r="R93" i="170" s="1"/>
  <c r="W14" i="170"/>
  <c r="W101" i="170"/>
  <c r="W103" i="170"/>
  <c r="W271" i="170"/>
  <c r="V310" i="170"/>
  <c r="W185" i="170"/>
  <c r="V300" i="170"/>
  <c r="V298" i="170"/>
  <c r="W292" i="170"/>
  <c r="V179" i="170"/>
  <c r="V195" i="170"/>
  <c r="V297" i="170"/>
  <c r="W181" i="170"/>
  <c r="V290" i="170"/>
  <c r="V279" i="170"/>
  <c r="V15" i="170"/>
  <c r="V99" i="170"/>
  <c r="U81" i="170"/>
  <c r="R81" i="170" s="1"/>
  <c r="U86" i="170"/>
  <c r="R86" i="170" s="1"/>
  <c r="V95" i="170"/>
  <c r="P233" i="170"/>
  <c r="AN187" i="1" s="1"/>
  <c r="U233" i="170"/>
  <c r="R233" i="170" s="1"/>
  <c r="P81" i="170"/>
  <c r="AN316" i="1" s="1"/>
  <c r="W262" i="170"/>
  <c r="W263" i="170"/>
  <c r="V269" i="170"/>
  <c r="V107" i="170"/>
  <c r="W273" i="170"/>
  <c r="W254" i="170"/>
  <c r="W121" i="170"/>
  <c r="U365" i="170"/>
  <c r="R365" i="170" s="1"/>
  <c r="W314" i="170"/>
  <c r="T89" i="170"/>
  <c r="S89" i="170" s="1"/>
  <c r="AO244" i="1" s="1"/>
  <c r="X89" i="170"/>
  <c r="P89" i="170"/>
  <c r="AN244" i="1" s="1"/>
  <c r="U69" i="170"/>
  <c r="R69" i="170" s="1"/>
  <c r="V256" i="170"/>
  <c r="P365" i="170"/>
  <c r="AN66" i="1" s="1"/>
  <c r="V102" i="170"/>
  <c r="V114" i="170"/>
  <c r="Q84" i="170"/>
  <c r="V258" i="170"/>
  <c r="V293" i="170"/>
  <c r="W257" i="170"/>
  <c r="W106" i="170"/>
  <c r="V115" i="170"/>
  <c r="V184" i="170"/>
  <c r="V252" i="170"/>
  <c r="W122" i="170"/>
  <c r="V109" i="170"/>
  <c r="V119" i="170"/>
  <c r="V94" i="170"/>
  <c r="V127" i="170"/>
  <c r="W194" i="170"/>
  <c r="V189" i="170"/>
  <c r="W117" i="170"/>
  <c r="W97" i="170"/>
  <c r="V118" i="170"/>
  <c r="V266" i="170"/>
  <c r="V261" i="170"/>
  <c r="V123" i="170"/>
  <c r="W19" i="170"/>
  <c r="W16" i="170"/>
  <c r="W287" i="170"/>
  <c r="V275" i="170"/>
  <c r="W280" i="170"/>
  <c r="V281" i="170"/>
  <c r="V20" i="170"/>
  <c r="W21" i="170"/>
  <c r="V108" i="170"/>
  <c r="W197" i="170"/>
  <c r="W191" i="170"/>
  <c r="W180" i="170"/>
  <c r="W278" i="170"/>
  <c r="S7" i="170"/>
  <c r="AO74" i="1" s="1"/>
  <c r="W308" i="170"/>
  <c r="U83" i="170"/>
  <c r="R83" i="170" s="1"/>
  <c r="V96" i="170"/>
  <c r="W312" i="170"/>
  <c r="T86" i="170"/>
  <c r="Q86" i="170" s="1"/>
  <c r="V120" i="170"/>
  <c r="U331" i="170"/>
  <c r="R331" i="170" s="1"/>
  <c r="W18" i="170"/>
  <c r="V176" i="170"/>
  <c r="X28" i="170"/>
  <c r="V187" i="170"/>
  <c r="T331" i="170"/>
  <c r="Q331" i="170" s="1"/>
  <c r="X87" i="170"/>
  <c r="P85" i="170"/>
  <c r="AN271" i="1" s="1"/>
  <c r="P87" i="170"/>
  <c r="AN228" i="1" s="1"/>
  <c r="W294" i="170"/>
  <c r="X155" i="170"/>
  <c r="T85" i="170"/>
  <c r="P84" i="170"/>
  <c r="AN98" i="1" s="1"/>
  <c r="W306" i="170"/>
  <c r="T87" i="170"/>
  <c r="V276" i="170"/>
  <c r="U84" i="170"/>
  <c r="R84" i="170" s="1"/>
  <c r="P155" i="170"/>
  <c r="AN147" i="1" s="1"/>
  <c r="V311" i="170"/>
  <c r="W177" i="170"/>
  <c r="W190" i="170"/>
  <c r="W274" i="170"/>
  <c r="R330" i="170"/>
  <c r="V283" i="170"/>
  <c r="W129" i="170"/>
  <c r="V260" i="170"/>
  <c r="N235" i="170"/>
  <c r="U235" i="170" s="1"/>
  <c r="R235" i="170" s="1"/>
  <c r="N234" i="170"/>
  <c r="U234" i="170" s="1"/>
  <c r="R234" i="170" s="1"/>
  <c r="N202" i="170"/>
  <c r="U202" i="170" s="1"/>
  <c r="R202" i="170" s="1"/>
  <c r="N240" i="170"/>
  <c r="U240" i="170" s="1"/>
  <c r="R240" i="170" s="1"/>
  <c r="N92" i="170"/>
  <c r="P92" i="170" s="1"/>
  <c r="AN131" i="1" s="1"/>
  <c r="N239" i="170"/>
  <c r="U239" i="170" s="1"/>
  <c r="R239" i="170" s="1"/>
  <c r="N390" i="170"/>
  <c r="U390" i="170" s="1"/>
  <c r="R390" i="170" s="1"/>
  <c r="S366" i="170"/>
  <c r="AO153" i="1" s="1"/>
  <c r="Q366" i="170"/>
  <c r="T315" i="170"/>
  <c r="U315" i="170"/>
  <c r="P315" i="170"/>
  <c r="AN21" i="1" s="1"/>
  <c r="P34" i="170"/>
  <c r="AN373" i="1" s="1"/>
  <c r="T34" i="170"/>
  <c r="W286" i="170"/>
  <c r="V286" i="170"/>
  <c r="W299" i="170"/>
  <c r="V299" i="170"/>
  <c r="W265" i="170"/>
  <c r="V265" i="170"/>
  <c r="V309" i="170"/>
  <c r="W309" i="170"/>
  <c r="N397" i="170"/>
  <c r="T397" i="170" s="1"/>
  <c r="Q397" i="170" s="1"/>
  <c r="N35" i="170"/>
  <c r="T35" i="170" s="1"/>
  <c r="Q35" i="170" s="1"/>
  <c r="N376" i="170"/>
  <c r="P376" i="170" s="1"/>
  <c r="AN114" i="1" s="1"/>
  <c r="N389" i="170"/>
  <c r="P389" i="170" s="1"/>
  <c r="AN67" i="1" s="1"/>
  <c r="N206" i="170"/>
  <c r="U206" i="170" s="1"/>
  <c r="R206" i="170" s="1"/>
  <c r="N392" i="170"/>
  <c r="P392" i="170" s="1"/>
  <c r="AN241" i="1" s="1"/>
  <c r="N60" i="170"/>
  <c r="P60" i="170" s="1"/>
  <c r="AN43" i="1" s="1"/>
  <c r="N43" i="170"/>
  <c r="T43" i="170" s="1"/>
  <c r="N199" i="170"/>
  <c r="U199" i="170" s="1"/>
  <c r="R199" i="170" s="1"/>
  <c r="N91" i="170"/>
  <c r="T91" i="170" s="1"/>
  <c r="Q91" i="170" s="1"/>
  <c r="X34" i="170"/>
  <c r="N46" i="170"/>
  <c r="T46" i="170" s="1"/>
  <c r="Q46" i="170" s="1"/>
  <c r="N384" i="170"/>
  <c r="U384" i="170" s="1"/>
  <c r="R384" i="170" s="1"/>
  <c r="N161" i="170"/>
  <c r="T161" i="170" s="1"/>
  <c r="N42" i="170"/>
  <c r="P42" i="170" s="1"/>
  <c r="AN211" i="1" s="1"/>
  <c r="N149" i="170"/>
  <c r="T149" i="170" s="1"/>
  <c r="Q149" i="170" s="1"/>
  <c r="N44" i="170"/>
  <c r="P44" i="170" s="1"/>
  <c r="AN88" i="1" s="1"/>
  <c r="N45" i="170"/>
  <c r="U45" i="170" s="1"/>
  <c r="R45" i="170" s="1"/>
  <c r="T69" i="170"/>
  <c r="Q69" i="170" s="1"/>
  <c r="N27" i="170"/>
  <c r="P27" i="170" s="1"/>
  <c r="AN330" i="1" s="1"/>
  <c r="N243" i="170"/>
  <c r="U243" i="170" s="1"/>
  <c r="R243" i="170" s="1"/>
  <c r="N61" i="170"/>
  <c r="P61" i="170" s="1"/>
  <c r="AN118" i="1" s="1"/>
  <c r="N327" i="170"/>
  <c r="U327" i="170" s="1"/>
  <c r="R327" i="170" s="1"/>
  <c r="W24" i="170"/>
  <c r="W98" i="170"/>
  <c r="R6" i="170"/>
  <c r="R30" i="170"/>
  <c r="X30" i="170"/>
  <c r="V284" i="170"/>
  <c r="W284" i="170"/>
  <c r="V188" i="170"/>
  <c r="W188" i="170"/>
  <c r="Q6" i="170"/>
  <c r="S6" i="170"/>
  <c r="AO251" i="1" s="1"/>
  <c r="R247" i="170"/>
  <c r="X247" i="170"/>
  <c r="V112" i="170"/>
  <c r="W112" i="170"/>
  <c r="W259" i="170"/>
  <c r="V259" i="170"/>
  <c r="W296" i="170"/>
  <c r="V296" i="170"/>
  <c r="N396" i="170"/>
  <c r="N208" i="170"/>
  <c r="N55" i="170"/>
  <c r="N37" i="170"/>
  <c r="S173" i="170"/>
  <c r="AO152" i="1" s="1"/>
  <c r="Q173" i="170"/>
  <c r="W264" i="170"/>
  <c r="V264" i="170"/>
  <c r="N64" i="170"/>
  <c r="U64" i="170" s="1"/>
  <c r="R64" i="170" s="1"/>
  <c r="N380" i="170"/>
  <c r="T380" i="170" s="1"/>
  <c r="Q380" i="170" s="1"/>
  <c r="N39" i="170"/>
  <c r="P39" i="170" s="1"/>
  <c r="AN40" i="1" s="1"/>
  <c r="N67" i="170"/>
  <c r="U67" i="170" s="1"/>
  <c r="R67" i="170" s="1"/>
  <c r="N5" i="170"/>
  <c r="U5" i="170" s="1"/>
  <c r="R5" i="170" s="1"/>
  <c r="N41" i="170"/>
  <c r="U41" i="170" s="1"/>
  <c r="R41" i="170" s="1"/>
  <c r="N62" i="170"/>
  <c r="T62" i="170" s="1"/>
  <c r="Q62" i="170" s="1"/>
  <c r="N387" i="170"/>
  <c r="P387" i="170" s="1"/>
  <c r="AN268" i="1" s="1"/>
  <c r="N163" i="170"/>
  <c r="T163" i="170" s="1"/>
  <c r="Q163" i="170" s="1"/>
  <c r="N66" i="170"/>
  <c r="P66" i="170" s="1"/>
  <c r="AN116" i="1" s="1"/>
  <c r="V113" i="170"/>
  <c r="V128" i="170"/>
  <c r="W128" i="170"/>
  <c r="W268" i="170"/>
  <c r="V268" i="170"/>
  <c r="W23" i="170"/>
  <c r="V23" i="170"/>
  <c r="R250" i="170"/>
  <c r="X250" i="170"/>
  <c r="AM14" i="1"/>
  <c r="AK9" i="1"/>
  <c r="AA9" i="1" s="1"/>
  <c r="N238" i="170"/>
  <c r="P238" i="170" s="1"/>
  <c r="AN270" i="1" s="1"/>
  <c r="N393" i="170"/>
  <c r="U393" i="170" s="1"/>
  <c r="N162" i="170"/>
  <c r="N58" i="170"/>
  <c r="N150" i="170"/>
  <c r="N385" i="170"/>
  <c r="N160" i="170"/>
  <c r="N209" i="170"/>
  <c r="N26" i="170"/>
  <c r="N59" i="170"/>
  <c r="N56" i="170"/>
  <c r="N49" i="170"/>
  <c r="N47" i="170"/>
  <c r="N381" i="170"/>
  <c r="N158" i="170"/>
  <c r="N53" i="170"/>
  <c r="N154" i="170"/>
  <c r="N165" i="170"/>
  <c r="V100" i="170"/>
  <c r="W289" i="170"/>
  <c r="W116" i="170"/>
  <c r="V285" i="170"/>
  <c r="W186" i="170"/>
  <c r="V186" i="170"/>
  <c r="R249" i="170"/>
  <c r="P32" i="170"/>
  <c r="AN367" i="1" s="1"/>
  <c r="T32" i="170"/>
  <c r="U32" i="170"/>
  <c r="P333" i="170"/>
  <c r="AN162" i="1" s="1"/>
  <c r="U333" i="170"/>
  <c r="T333" i="170"/>
  <c r="T332" i="170"/>
  <c r="U332" i="170"/>
  <c r="P332" i="170"/>
  <c r="AN357" i="1" s="1"/>
  <c r="Q250" i="170"/>
  <c r="S250" i="170"/>
  <c r="AO185" i="1" s="1"/>
  <c r="N151" i="170"/>
  <c r="P151" i="170" s="1"/>
  <c r="AN213" i="1" s="1"/>
  <c r="N203" i="170"/>
  <c r="N157" i="170"/>
  <c r="N245" i="170"/>
  <c r="N164" i="170"/>
  <c r="N40" i="170"/>
  <c r="N395" i="170"/>
  <c r="N242" i="170"/>
  <c r="N90" i="170"/>
  <c r="N237" i="170"/>
  <c r="W288" i="170"/>
  <c r="V288" i="170"/>
  <c r="W110" i="170"/>
  <c r="V110" i="170"/>
  <c r="Q247" i="170"/>
  <c r="S247" i="170"/>
  <c r="AO184" i="1" s="1"/>
  <c r="O146" i="170"/>
  <c r="V146" i="170" s="1"/>
  <c r="O144" i="170"/>
  <c r="V144" i="170" s="1"/>
  <c r="N383" i="170"/>
  <c r="N373" i="170"/>
  <c r="N236" i="170"/>
  <c r="N57" i="170"/>
  <c r="N205" i="170"/>
  <c r="N391" i="170"/>
  <c r="N68" i="170"/>
  <c r="N378" i="170"/>
  <c r="N54" i="170"/>
  <c r="N204" i="170"/>
  <c r="V111" i="170"/>
  <c r="S249" i="170"/>
  <c r="AO227" i="1" s="1"/>
  <c r="Q249" i="170"/>
  <c r="T88" i="170"/>
  <c r="P88" i="170"/>
  <c r="AN133" i="1" s="1"/>
  <c r="U88" i="170"/>
  <c r="W255" i="170"/>
  <c r="V255" i="170"/>
  <c r="W295" i="170"/>
  <c r="V295" i="170"/>
  <c r="V182" i="170"/>
  <c r="W182" i="170"/>
  <c r="V183" i="170"/>
  <c r="W183" i="170"/>
  <c r="V104" i="170"/>
  <c r="W104" i="170"/>
  <c r="N48" i="170"/>
  <c r="N207" i="170"/>
  <c r="N371" i="170"/>
  <c r="N382" i="170"/>
  <c r="U382" i="170" s="1"/>
  <c r="R382" i="170" s="1"/>
  <c r="N132" i="170"/>
  <c r="T132" i="170" s="1"/>
  <c r="Q132" i="170" s="1"/>
  <c r="N36" i="170"/>
  <c r="P36" i="170" s="1"/>
  <c r="AN31" i="1" s="1"/>
  <c r="N152" i="170"/>
  <c r="P152" i="170" s="1"/>
  <c r="AN314" i="1" s="1"/>
  <c r="N131" i="170"/>
  <c r="N25" i="170"/>
  <c r="N63" i="170"/>
  <c r="N328" i="170"/>
  <c r="N386" i="170"/>
  <c r="N65" i="170"/>
  <c r="N394" i="170"/>
  <c r="N372" i="170"/>
  <c r="N379" i="170"/>
  <c r="N51" i="170"/>
  <c r="N374" i="170"/>
  <c r="N388" i="170"/>
  <c r="N38" i="170"/>
  <c r="W301" i="170"/>
  <c r="P82" i="170"/>
  <c r="AN278" i="1" s="1"/>
  <c r="U82" i="170"/>
  <c r="T82" i="170"/>
  <c r="W267" i="170"/>
  <c r="V267" i="170"/>
  <c r="V178" i="170"/>
  <c r="W178" i="170"/>
  <c r="AM17" i="1"/>
  <c r="O105" i="170"/>
  <c r="V105" i="170" s="1"/>
  <c r="N159" i="170"/>
  <c r="N148" i="170"/>
  <c r="N153" i="170"/>
  <c r="N246" i="170"/>
  <c r="N50" i="170"/>
  <c r="N201" i="170"/>
  <c r="N241" i="170"/>
  <c r="N147" i="170"/>
  <c r="N244" i="170"/>
  <c r="N52" i="170"/>
  <c r="N200" i="170"/>
  <c r="W124" i="170"/>
  <c r="X366" i="170"/>
  <c r="R366" i="170"/>
  <c r="W126" i="170"/>
  <c r="V126" i="170"/>
  <c r="Q30" i="170"/>
  <c r="S30" i="170"/>
  <c r="AO222" i="1" s="1"/>
  <c r="V125" i="170"/>
  <c r="W125" i="170"/>
  <c r="S83" i="170"/>
  <c r="AO254" i="1" s="1"/>
  <c r="N14" i="71"/>
  <c r="U60" i="170"/>
  <c r="R60" i="170" s="1"/>
  <c r="T376" i="170"/>
  <c r="Q376" i="170" s="1"/>
  <c r="U376" i="170"/>
  <c r="R376" i="170" s="1"/>
  <c r="AM45" i="1"/>
  <c r="AK45" i="1"/>
  <c r="AM220" i="1"/>
  <c r="AK220" i="1"/>
  <c r="AM325" i="1"/>
  <c r="AK325" i="1"/>
  <c r="AM250" i="1"/>
  <c r="AK250" i="1"/>
  <c r="AM72" i="1"/>
  <c r="AK72" i="1"/>
  <c r="AM157" i="1"/>
  <c r="AK157" i="1"/>
  <c r="AM85" i="1"/>
  <c r="AK85" i="1"/>
  <c r="AM54" i="1"/>
  <c r="AK54" i="1"/>
  <c r="AM306" i="1"/>
  <c r="AK306" i="1"/>
  <c r="AM308" i="1"/>
  <c r="AK308" i="1"/>
  <c r="AM197" i="1"/>
  <c r="AK197" i="1"/>
  <c r="AM230" i="1"/>
  <c r="AK230" i="1"/>
  <c r="AM343" i="1"/>
  <c r="AK343" i="1"/>
  <c r="AM366" i="1"/>
  <c r="AK366" i="1"/>
  <c r="AM369" i="1"/>
  <c r="AK369" i="1"/>
  <c r="AM189" i="1"/>
  <c r="AK189" i="1"/>
  <c r="AM129" i="1"/>
  <c r="AK129" i="1"/>
  <c r="AM372" i="1"/>
  <c r="AK372" i="1"/>
  <c r="AM36" i="1"/>
  <c r="AK36" i="1"/>
  <c r="AM355" i="1"/>
  <c r="AK355" i="1"/>
  <c r="AM328" i="1"/>
  <c r="AK328" i="1"/>
  <c r="AM296" i="1"/>
  <c r="AK296" i="1"/>
  <c r="AM353" i="1"/>
  <c r="AK353" i="1"/>
  <c r="AM386" i="1"/>
  <c r="AK386" i="1"/>
  <c r="AM298" i="1"/>
  <c r="AK298" i="1"/>
  <c r="AM362" i="1"/>
  <c r="AK362" i="1"/>
  <c r="AM356" i="1"/>
  <c r="AK356" i="1"/>
  <c r="AM94" i="1"/>
  <c r="AK94" i="1"/>
  <c r="AM30" i="1"/>
  <c r="AK30" i="1"/>
  <c r="AM196" i="1"/>
  <c r="AK196" i="1"/>
  <c r="AM235" i="1"/>
  <c r="AK235" i="1"/>
  <c r="AM161" i="1"/>
  <c r="AK161" i="1"/>
  <c r="AM194" i="1"/>
  <c r="AK194" i="1"/>
  <c r="AM340" i="1"/>
  <c r="AK340" i="1"/>
  <c r="AM358" i="1"/>
  <c r="AK358" i="1"/>
  <c r="AM231" i="1"/>
  <c r="AK231" i="1"/>
  <c r="AM342" i="1"/>
  <c r="AK342" i="1"/>
  <c r="AM174" i="1"/>
  <c r="AK174" i="1"/>
  <c r="AM284" i="1"/>
  <c r="AK284" i="1"/>
  <c r="AM365" i="1"/>
  <c r="AK365" i="1"/>
  <c r="AM331" i="1"/>
  <c r="AK331" i="1"/>
  <c r="AM320" i="1"/>
  <c r="AK320" i="1"/>
  <c r="AM128" i="1"/>
  <c r="AK128" i="1"/>
  <c r="AM258" i="1"/>
  <c r="AK258" i="1"/>
  <c r="AM378" i="1"/>
  <c r="AK378" i="1"/>
  <c r="AM252" i="1"/>
  <c r="AK252" i="1"/>
  <c r="AM22" i="1"/>
  <c r="AK22" i="1"/>
  <c r="AM217" i="1"/>
  <c r="AK217" i="1"/>
  <c r="AM37" i="1"/>
  <c r="AK37" i="1"/>
  <c r="AM110" i="1"/>
  <c r="AK110" i="1"/>
  <c r="AM218" i="1"/>
  <c r="AK218" i="1"/>
  <c r="AM221" i="1"/>
  <c r="AK221" i="1"/>
  <c r="AM82" i="1"/>
  <c r="AK82" i="1"/>
  <c r="AM83" i="1"/>
  <c r="AK83" i="1"/>
  <c r="AM360" i="1"/>
  <c r="AK360" i="1"/>
  <c r="AM245" i="1"/>
  <c r="AK245" i="1"/>
  <c r="AM171" i="1"/>
  <c r="AK171" i="1"/>
  <c r="AM173" i="1"/>
  <c r="AK173" i="1"/>
  <c r="AM321" i="1"/>
  <c r="AK321" i="1"/>
  <c r="AM166" i="1"/>
  <c r="AK166" i="1"/>
  <c r="AM380" i="1"/>
  <c r="AK380" i="1"/>
  <c r="AM265" i="1"/>
  <c r="AK265" i="1"/>
  <c r="AM140" i="1"/>
  <c r="AK140" i="1"/>
  <c r="AM339" i="1"/>
  <c r="AK339" i="1"/>
  <c r="AM150" i="1"/>
  <c r="AK150" i="1"/>
  <c r="AM382" i="1"/>
  <c r="AK382" i="1"/>
  <c r="AM349" i="1"/>
  <c r="AK349" i="1"/>
  <c r="AM188" i="1"/>
  <c r="AK188" i="1"/>
  <c r="AM294" i="1"/>
  <c r="AK294" i="1"/>
  <c r="AM56" i="1"/>
  <c r="AK56" i="1"/>
  <c r="AM256" i="1"/>
  <c r="AK256" i="1"/>
  <c r="AM375" i="1"/>
  <c r="AK375" i="1"/>
  <c r="AM151" i="1"/>
  <c r="AK151" i="1"/>
  <c r="AM164" i="1"/>
  <c r="AK164" i="1"/>
  <c r="AM260" i="1"/>
  <c r="AK260" i="1"/>
  <c r="AM317" i="1"/>
  <c r="AK317" i="1"/>
  <c r="AM216" i="1"/>
  <c r="AK216" i="1"/>
  <c r="AM207" i="1"/>
  <c r="AK207" i="1"/>
  <c r="AM93" i="1"/>
  <c r="AK93" i="1"/>
  <c r="AM348" i="1"/>
  <c r="AK348" i="1"/>
  <c r="AM168" i="1"/>
  <c r="AK168" i="1"/>
  <c r="AM76" i="1"/>
  <c r="AK76" i="1"/>
  <c r="AM290" i="1"/>
  <c r="AK290" i="1"/>
  <c r="AM309" i="1"/>
  <c r="AK309" i="1"/>
  <c r="AM305" i="1"/>
  <c r="AK305" i="1"/>
  <c r="AM304" i="1"/>
  <c r="AK304" i="1"/>
  <c r="AM335" i="1"/>
  <c r="AK335" i="1"/>
  <c r="AM201" i="1"/>
  <c r="AK201" i="1"/>
  <c r="AM139" i="1"/>
  <c r="AK139" i="1"/>
  <c r="AM243" i="1"/>
  <c r="AK243" i="1"/>
  <c r="AM134" i="1"/>
  <c r="AK134" i="1"/>
  <c r="AM334" i="1"/>
  <c r="AK334" i="1"/>
  <c r="AM341" i="1"/>
  <c r="AK341" i="1"/>
  <c r="AM377" i="1"/>
  <c r="AK377" i="1"/>
  <c r="AM285" i="1"/>
  <c r="AK285" i="1"/>
  <c r="AM48" i="1"/>
  <c r="AK48" i="1"/>
  <c r="AM324" i="1"/>
  <c r="AK324" i="1"/>
  <c r="AM318" i="1"/>
  <c r="AK318" i="1"/>
  <c r="AM87" i="1"/>
  <c r="AK87" i="1"/>
  <c r="AM259" i="1"/>
  <c r="AK259" i="1"/>
  <c r="AM35" i="1"/>
  <c r="AK35" i="1"/>
  <c r="AM257" i="1"/>
  <c r="AK257" i="1"/>
  <c r="AM146" i="1"/>
  <c r="AK146" i="1"/>
  <c r="AM132" i="1"/>
  <c r="AK132" i="1"/>
  <c r="AM71" i="1"/>
  <c r="AK71" i="1"/>
  <c r="AM158" i="1"/>
  <c r="AK158" i="1"/>
  <c r="AM226" i="1"/>
  <c r="AK226" i="1"/>
  <c r="AM92" i="1"/>
  <c r="AK92" i="1"/>
  <c r="AM115" i="1"/>
  <c r="AK115" i="1"/>
  <c r="AM224" i="1"/>
  <c r="AK224" i="1"/>
  <c r="AM376" i="1"/>
  <c r="AK376" i="1"/>
  <c r="AM163" i="1"/>
  <c r="AK163" i="1"/>
  <c r="AM322" i="1"/>
  <c r="AK322" i="1"/>
  <c r="AM276" i="1"/>
  <c r="AK276" i="1"/>
  <c r="AM242" i="1"/>
  <c r="AK242" i="1"/>
  <c r="AM172" i="1"/>
  <c r="AK172" i="1"/>
  <c r="AM195" i="1"/>
  <c r="AK195" i="1"/>
  <c r="AM240" i="1"/>
  <c r="AK240" i="1"/>
  <c r="AM86" i="1"/>
  <c r="AK86" i="1"/>
  <c r="AM282" i="1"/>
  <c r="AK282" i="1"/>
  <c r="AM264" i="1"/>
  <c r="AK264" i="1"/>
  <c r="AM336" i="1"/>
  <c r="AK336" i="1"/>
  <c r="AM359" i="1"/>
  <c r="AK359" i="1"/>
  <c r="AM310" i="1"/>
  <c r="AK310" i="1"/>
  <c r="AM333" i="1"/>
  <c r="AK333" i="1"/>
  <c r="AM337" i="1"/>
  <c r="AK337" i="1"/>
  <c r="AM175" i="1"/>
  <c r="AK175" i="1"/>
  <c r="AM205" i="1"/>
  <c r="AK205" i="1"/>
  <c r="AM301" i="1"/>
  <c r="AK301" i="1"/>
  <c r="AM313" i="1"/>
  <c r="AK313" i="1"/>
  <c r="AM29" i="1"/>
  <c r="AK29" i="1"/>
  <c r="AM215" i="1"/>
  <c r="AK215" i="1"/>
  <c r="AM247" i="1"/>
  <c r="AK247" i="1"/>
  <c r="AM326" i="1"/>
  <c r="AK326" i="1"/>
  <c r="AM97" i="1"/>
  <c r="AK97" i="1"/>
  <c r="AM208" i="1"/>
  <c r="AK208" i="1"/>
  <c r="AM312" i="1"/>
  <c r="AK312" i="1"/>
  <c r="AM81" i="1"/>
  <c r="AK81" i="1"/>
  <c r="AM55" i="1"/>
  <c r="AK55" i="1"/>
  <c r="AM302" i="1"/>
  <c r="AK302" i="1"/>
  <c r="AM169" i="1"/>
  <c r="AK169" i="1"/>
  <c r="AM145" i="1"/>
  <c r="AK145" i="1"/>
  <c r="AM177" i="1"/>
  <c r="AK177" i="1"/>
  <c r="AM232" i="1"/>
  <c r="AK232" i="1"/>
  <c r="AM262" i="1"/>
  <c r="AK262" i="1"/>
  <c r="AM199" i="1"/>
  <c r="AK199" i="1"/>
  <c r="AM136" i="1"/>
  <c r="AK136" i="1"/>
  <c r="AM38" i="1"/>
  <c r="AK38" i="1"/>
  <c r="AM193" i="1"/>
  <c r="AK193" i="1"/>
  <c r="AM283" i="1"/>
  <c r="AK283" i="1"/>
  <c r="AM300" i="1"/>
  <c r="AK300" i="1"/>
  <c r="AM329" i="1"/>
  <c r="AK329" i="1"/>
  <c r="AM130" i="1"/>
  <c r="AK130" i="1"/>
  <c r="AM370" i="1"/>
  <c r="AK370" i="1"/>
  <c r="AM180" i="1"/>
  <c r="AK180" i="1"/>
  <c r="AM127" i="1"/>
  <c r="AK127" i="1"/>
  <c r="AM204" i="1"/>
  <c r="AK204" i="1"/>
  <c r="AM346" i="1"/>
  <c r="AK346" i="1"/>
  <c r="AM345" i="1"/>
  <c r="AK345" i="1"/>
  <c r="AM101" i="1"/>
  <c r="AK101" i="1"/>
  <c r="AM100" i="1"/>
  <c r="AK100" i="1"/>
  <c r="AM78" i="1"/>
  <c r="AK78" i="1"/>
  <c r="AM104" i="1"/>
  <c r="AK104" i="1"/>
  <c r="AM160" i="1"/>
  <c r="AK160" i="1"/>
  <c r="AM347" i="1"/>
  <c r="AK347" i="1"/>
  <c r="AM287" i="1"/>
  <c r="AK287" i="1"/>
  <c r="AM178" i="1"/>
  <c r="AK178" i="1"/>
  <c r="AM238" i="1"/>
  <c r="AK238" i="1"/>
  <c r="AM307" i="1"/>
  <c r="AK307" i="1"/>
  <c r="AM167" i="1"/>
  <c r="AK167" i="1"/>
  <c r="AM176" i="1"/>
  <c r="AK176" i="1"/>
  <c r="AM141" i="1"/>
  <c r="AK141" i="1"/>
  <c r="AM190" i="1"/>
  <c r="AK190" i="1"/>
  <c r="AM281" i="1"/>
  <c r="AK281" i="1"/>
  <c r="AM233" i="1"/>
  <c r="AK233" i="1"/>
  <c r="AM332" i="1"/>
  <c r="AK332" i="1"/>
  <c r="AM191" i="1"/>
  <c r="AK191" i="1"/>
  <c r="AM44" i="1"/>
  <c r="AK44" i="1"/>
  <c r="AM295" i="1"/>
  <c r="AK295" i="1"/>
  <c r="AM57" i="1"/>
  <c r="AK57" i="1"/>
  <c r="AM374" i="1"/>
  <c r="AK374" i="1"/>
  <c r="AM156" i="1"/>
  <c r="AK156" i="1"/>
  <c r="AM26" i="1"/>
  <c r="AK26" i="1"/>
  <c r="AM113" i="1"/>
  <c r="AK113" i="1"/>
  <c r="AM28" i="1"/>
  <c r="AK28" i="1"/>
  <c r="AM286" i="1"/>
  <c r="AK286" i="1"/>
  <c r="AM77" i="1"/>
  <c r="AK77" i="1"/>
  <c r="AM73" i="1"/>
  <c r="AK73" i="1"/>
  <c r="AM33" i="1"/>
  <c r="AK33" i="1"/>
  <c r="AM96" i="1"/>
  <c r="AK96" i="1"/>
  <c r="AM327" i="1"/>
  <c r="AK327" i="1"/>
  <c r="AM279" i="1"/>
  <c r="AK279" i="1"/>
  <c r="AM351" i="1"/>
  <c r="AK351" i="1"/>
  <c r="AM198" i="1"/>
  <c r="AK198" i="1"/>
  <c r="AM165" i="1"/>
  <c r="AK165" i="1"/>
  <c r="AM234" i="1"/>
  <c r="AK234" i="1"/>
  <c r="AM303" i="1"/>
  <c r="AK303" i="1"/>
  <c r="AM144" i="1"/>
  <c r="AK144" i="1"/>
  <c r="AM138" i="1"/>
  <c r="AK138" i="1"/>
  <c r="AM379" i="1"/>
  <c r="AK379" i="1"/>
  <c r="AM338" i="1"/>
  <c r="AK338" i="1"/>
  <c r="AM383" i="1"/>
  <c r="AK383" i="1"/>
  <c r="AM19" i="1"/>
  <c r="AK19" i="1"/>
  <c r="AM137" i="1"/>
  <c r="AK137" i="1"/>
  <c r="AM387" i="1"/>
  <c r="AK387" i="1"/>
  <c r="AM344" i="1"/>
  <c r="AK344" i="1"/>
  <c r="AM20" i="1"/>
  <c r="AK20" i="1"/>
  <c r="AM255" i="1"/>
  <c r="AK255" i="1"/>
  <c r="AM319" i="1"/>
  <c r="AK319" i="1"/>
  <c r="AM371" i="1"/>
  <c r="AK371" i="1"/>
  <c r="AM203" i="1"/>
  <c r="AK203" i="1"/>
  <c r="AM50" i="1"/>
  <c r="AK50" i="1"/>
  <c r="AM49" i="1"/>
  <c r="AK49" i="1"/>
  <c r="AM9" i="1"/>
  <c r="N277" i="170" s="1"/>
  <c r="T277" i="170" s="1"/>
  <c r="W270" i="170"/>
  <c r="V270" i="170"/>
  <c r="V174" i="170"/>
  <c r="W174" i="170"/>
  <c r="V175" i="170"/>
  <c r="W175" i="170"/>
  <c r="U175" i="170"/>
  <c r="T175" i="170"/>
  <c r="N375" i="170"/>
  <c r="P175" i="170"/>
  <c r="AN11" i="1" s="1"/>
  <c r="AM10" i="1"/>
  <c r="N193" i="170" s="1"/>
  <c r="AK14" i="1"/>
  <c r="AM7" i="1"/>
  <c r="AK7" i="1"/>
  <c r="AA7" i="1" s="1"/>
  <c r="AP398" i="1"/>
  <c r="AQ398" i="1" s="1"/>
  <c r="AR398" i="1" s="1"/>
  <c r="AS398" i="1" s="1"/>
  <c r="AM16" i="1"/>
  <c r="AK17" i="1"/>
  <c r="AM8" i="1"/>
  <c r="N270" i="170" s="1"/>
  <c r="AK16" i="1"/>
  <c r="AK6" i="1"/>
  <c r="AM6" i="1"/>
  <c r="N174" i="170" s="1"/>
  <c r="AK15" i="1"/>
  <c r="AM15" i="1"/>
  <c r="AM18" i="1"/>
  <c r="AK18" i="1"/>
  <c r="N57" i="71"/>
  <c r="M57" i="71"/>
  <c r="AL9" i="1"/>
  <c r="AJ9" i="1"/>
  <c r="Z9" i="1" s="1"/>
  <c r="M28" i="71"/>
  <c r="O28" i="71" s="1"/>
  <c r="P28" i="71" s="1"/>
  <c r="AJ12" i="1"/>
  <c r="M60" i="71"/>
  <c r="O60" i="71" s="1"/>
  <c r="P60" i="71" s="1"/>
  <c r="AL12" i="1"/>
  <c r="M56" i="71"/>
  <c r="O56" i="71" s="1"/>
  <c r="P56" i="71" s="1"/>
  <c r="AL7" i="1"/>
  <c r="AJ7" i="1"/>
  <c r="Z7" i="1" s="1"/>
  <c r="AJ6" i="1"/>
  <c r="AL16" i="1"/>
  <c r="AJ16" i="1"/>
  <c r="AL17" i="1"/>
  <c r="M55" i="71"/>
  <c r="AJ17" i="1"/>
  <c r="N55" i="71"/>
  <c r="AL10" i="1"/>
  <c r="AJ10" i="1"/>
  <c r="M19" i="71" s="1"/>
  <c r="AA11" i="1"/>
  <c r="AA8" i="1"/>
  <c r="Z11" i="1"/>
  <c r="Z14" i="1"/>
  <c r="Z8" i="1"/>
  <c r="AA12" i="1"/>
  <c r="N35" i="71"/>
  <c r="N26" i="71"/>
  <c r="N24" i="71"/>
  <c r="N38" i="71"/>
  <c r="N25" i="71"/>
  <c r="N27" i="71"/>
  <c r="N19" i="71"/>
  <c r="AA10" i="1"/>
  <c r="N8" i="71"/>
  <c r="N23" i="71"/>
  <c r="N41" i="71"/>
  <c r="M51" i="71"/>
  <c r="M17" i="71"/>
  <c r="M38" i="71"/>
  <c r="M36" i="71"/>
  <c r="Z18" i="1"/>
  <c r="M44" i="71"/>
  <c r="Z15" i="1"/>
  <c r="N58" i="71"/>
  <c r="N45" i="71"/>
  <c r="M15" i="71"/>
  <c r="N49" i="71"/>
  <c r="N54" i="71"/>
  <c r="M25" i="71"/>
  <c r="M45" i="71"/>
  <c r="N43" i="71"/>
  <c r="M47" i="71"/>
  <c r="M23" i="71"/>
  <c r="N47" i="71"/>
  <c r="M12" i="71"/>
  <c r="M18" i="71"/>
  <c r="M7" i="71"/>
  <c r="M27" i="71"/>
  <c r="M24" i="71"/>
  <c r="N39" i="71"/>
  <c r="M35" i="71"/>
  <c r="M29" i="71"/>
  <c r="M6" i="71"/>
  <c r="M40" i="71"/>
  <c r="N53" i="71"/>
  <c r="M58" i="71"/>
  <c r="N36" i="71"/>
  <c r="M52" i="71"/>
  <c r="N6" i="71"/>
  <c r="M39" i="71"/>
  <c r="N52" i="71"/>
  <c r="M26" i="71"/>
  <c r="N18" i="71"/>
  <c r="N29" i="71"/>
  <c r="N12" i="71"/>
  <c r="N51" i="71"/>
  <c r="AJ13" i="1"/>
  <c r="AL13" i="1"/>
  <c r="AK13" i="1"/>
  <c r="AM13" i="1"/>
  <c r="X206" i="170" l="1"/>
  <c r="U61" i="170"/>
  <c r="R61" i="170" s="1"/>
  <c r="T206" i="170"/>
  <c r="S206" i="170" s="1"/>
  <c r="AO159" i="1" s="1"/>
  <c r="P199" i="170"/>
  <c r="AN123" i="1" s="1"/>
  <c r="P397" i="170"/>
  <c r="AN70" i="1" s="1"/>
  <c r="T61" i="170"/>
  <c r="Q61" i="170" s="1"/>
  <c r="Q89" i="170"/>
  <c r="P206" i="170"/>
  <c r="AN159" i="1" s="1"/>
  <c r="X199" i="170"/>
  <c r="T199" i="170"/>
  <c r="S199" i="170" s="1"/>
  <c r="AO123" i="1" s="1"/>
  <c r="U397" i="170"/>
  <c r="R397" i="170" s="1"/>
  <c r="S155" i="170"/>
  <c r="AO147" i="1" s="1"/>
  <c r="S233" i="170"/>
  <c r="AO187" i="1" s="1"/>
  <c r="X69" i="170"/>
  <c r="X233" i="170"/>
  <c r="P239" i="170"/>
  <c r="AN51" i="1" s="1"/>
  <c r="U149" i="170"/>
  <c r="R149" i="170" s="1"/>
  <c r="T234" i="170"/>
  <c r="S234" i="170" s="1"/>
  <c r="AO352" i="1" s="1"/>
  <c r="P380" i="170"/>
  <c r="AN126" i="1" s="1"/>
  <c r="X239" i="170"/>
  <c r="P46" i="170"/>
  <c r="AN111" i="1" s="1"/>
  <c r="X41" i="170"/>
  <c r="U46" i="170"/>
  <c r="R46" i="170" s="1"/>
  <c r="AA16" i="1"/>
  <c r="AA371" i="1"/>
  <c r="AA344" i="1"/>
  <c r="AA383" i="1"/>
  <c r="AA144" i="1"/>
  <c r="AA198" i="1"/>
  <c r="AA96" i="1"/>
  <c r="AA286" i="1"/>
  <c r="AA156" i="1"/>
  <c r="AA44" i="1"/>
  <c r="AA281" i="1"/>
  <c r="AA167" i="1"/>
  <c r="AA287" i="1"/>
  <c r="AA78" i="1"/>
  <c r="AA346" i="1"/>
  <c r="AA370" i="1"/>
  <c r="AA283" i="1"/>
  <c r="AA199" i="1"/>
  <c r="AA145" i="1"/>
  <c r="AA81" i="1"/>
  <c r="AA326" i="1"/>
  <c r="AA313" i="1"/>
  <c r="AA337" i="1"/>
  <c r="AA336" i="1"/>
  <c r="AA240" i="1"/>
  <c r="AA276" i="1"/>
  <c r="AA224" i="1"/>
  <c r="AA158" i="1"/>
  <c r="AA257" i="1"/>
  <c r="AA318" i="1"/>
  <c r="AA377" i="1"/>
  <c r="AA243" i="1"/>
  <c r="AA304" i="1"/>
  <c r="AA76" i="1"/>
  <c r="AA207" i="1"/>
  <c r="AA164" i="1"/>
  <c r="AA56" i="1"/>
  <c r="AA382" i="1"/>
  <c r="AA265" i="1"/>
  <c r="AA173" i="1"/>
  <c r="AA83" i="1"/>
  <c r="AA110" i="1"/>
  <c r="AA252" i="1"/>
  <c r="AA320" i="1"/>
  <c r="AA174" i="1"/>
  <c r="AA340" i="1"/>
  <c r="AA196" i="1"/>
  <c r="AA362" i="1"/>
  <c r="AA296" i="1"/>
  <c r="AA372" i="1"/>
  <c r="AA366" i="1"/>
  <c r="AA308" i="1"/>
  <c r="AA157" i="1"/>
  <c r="AA220" i="1"/>
  <c r="P41" i="170"/>
  <c r="AN109" i="1" s="1"/>
  <c r="AA18" i="1"/>
  <c r="AA14" i="1"/>
  <c r="X81" i="170"/>
  <c r="X234" i="170"/>
  <c r="AA49" i="1"/>
  <c r="AA319" i="1"/>
  <c r="AA387" i="1"/>
  <c r="AA338" i="1"/>
  <c r="AA303" i="1"/>
  <c r="AA351" i="1"/>
  <c r="AA33" i="1"/>
  <c r="AA28" i="1"/>
  <c r="AA374" i="1"/>
  <c r="AA191" i="1"/>
  <c r="AA190" i="1"/>
  <c r="AA307" i="1"/>
  <c r="AA347" i="1"/>
  <c r="AA100" i="1"/>
  <c r="AA204" i="1"/>
  <c r="AA130" i="1"/>
  <c r="AA193" i="1"/>
  <c r="AA262" i="1"/>
  <c r="AA169" i="1"/>
  <c r="AA312" i="1"/>
  <c r="AA247" i="1"/>
  <c r="AA301" i="1"/>
  <c r="AA333" i="1"/>
  <c r="AA264" i="1"/>
  <c r="AA195" i="1"/>
  <c r="AA322" i="1"/>
  <c r="AA115" i="1"/>
  <c r="AA71" i="1"/>
  <c r="AA35" i="1"/>
  <c r="AA324" i="1"/>
  <c r="AA341" i="1"/>
  <c r="AA139" i="1"/>
  <c r="AA305" i="1"/>
  <c r="AA168" i="1"/>
  <c r="AA216" i="1"/>
  <c r="AA151" i="1"/>
  <c r="AA294" i="1"/>
  <c r="AA150" i="1"/>
  <c r="AA380" i="1"/>
  <c r="AA171" i="1"/>
  <c r="AA82" i="1"/>
  <c r="AA37" i="1"/>
  <c r="AA378" i="1"/>
  <c r="AA331" i="1"/>
  <c r="AA342" i="1"/>
  <c r="AA194" i="1"/>
  <c r="AA30" i="1"/>
  <c r="AA298" i="1"/>
  <c r="AA328" i="1"/>
  <c r="AA129" i="1"/>
  <c r="AA343" i="1"/>
  <c r="AA306" i="1"/>
  <c r="AA72" i="1"/>
  <c r="AA45" i="1"/>
  <c r="T239" i="170"/>
  <c r="Q239" i="170" s="1"/>
  <c r="P234" i="170"/>
  <c r="AN352" i="1" s="1"/>
  <c r="P149" i="170"/>
  <c r="AN274" i="1" s="1"/>
  <c r="Z12" i="1"/>
  <c r="AA50" i="1"/>
  <c r="AA255" i="1"/>
  <c r="AA137" i="1"/>
  <c r="AA379" i="1"/>
  <c r="AA234" i="1"/>
  <c r="AA279" i="1"/>
  <c r="AA73" i="1"/>
  <c r="AA113" i="1"/>
  <c r="AA57" i="1"/>
  <c r="AA332" i="1"/>
  <c r="AA141" i="1"/>
  <c r="AA238" i="1"/>
  <c r="AA160" i="1"/>
  <c r="AA101" i="1"/>
  <c r="AA127" i="1"/>
  <c r="AA329" i="1"/>
  <c r="AA38" i="1"/>
  <c r="AA232" i="1"/>
  <c r="AA302" i="1"/>
  <c r="AA208" i="1"/>
  <c r="AA215" i="1"/>
  <c r="AA205" i="1"/>
  <c r="AA310" i="1"/>
  <c r="AA282" i="1"/>
  <c r="AA172" i="1"/>
  <c r="AA163" i="1"/>
  <c r="AA92" i="1"/>
  <c r="AA132" i="1"/>
  <c r="AA259" i="1"/>
  <c r="AA48" i="1"/>
  <c r="AA334" i="1"/>
  <c r="AA201" i="1"/>
  <c r="AA309" i="1"/>
  <c r="AA348" i="1"/>
  <c r="AA317" i="1"/>
  <c r="AA375" i="1"/>
  <c r="AA188" i="1"/>
  <c r="AA339" i="1"/>
  <c r="AA166" i="1"/>
  <c r="AA245" i="1"/>
  <c r="AA221" i="1"/>
  <c r="AA217" i="1"/>
  <c r="AA258" i="1"/>
  <c r="AA365" i="1"/>
  <c r="AA231" i="1"/>
  <c r="AA161" i="1"/>
  <c r="AA94" i="1"/>
  <c r="AA386" i="1"/>
  <c r="AA355" i="1"/>
  <c r="AA189" i="1"/>
  <c r="AA230" i="1"/>
  <c r="AA54" i="1"/>
  <c r="AA250" i="1"/>
  <c r="S81" i="170"/>
  <c r="AO316" i="1" s="1"/>
  <c r="Z17" i="1"/>
  <c r="AA15" i="1"/>
  <c r="AA203" i="1"/>
  <c r="AA20" i="1"/>
  <c r="AA19" i="1"/>
  <c r="AA138" i="1"/>
  <c r="AA165" i="1"/>
  <c r="AA327" i="1"/>
  <c r="AA77" i="1"/>
  <c r="AA26" i="1"/>
  <c r="AA295" i="1"/>
  <c r="AA233" i="1"/>
  <c r="AA176" i="1"/>
  <c r="AA178" i="1"/>
  <c r="AA104" i="1"/>
  <c r="AA345" i="1"/>
  <c r="AA180" i="1"/>
  <c r="AA300" i="1"/>
  <c r="AA136" i="1"/>
  <c r="AA177" i="1"/>
  <c r="AA55" i="1"/>
  <c r="AA97" i="1"/>
  <c r="AA29" i="1"/>
  <c r="AA175" i="1"/>
  <c r="AA359" i="1"/>
  <c r="AA86" i="1"/>
  <c r="AA242" i="1"/>
  <c r="AA376" i="1"/>
  <c r="AA226" i="1"/>
  <c r="AA146" i="1"/>
  <c r="AA87" i="1"/>
  <c r="AA285" i="1"/>
  <c r="AA134" i="1"/>
  <c r="AA335" i="1"/>
  <c r="AA290" i="1"/>
  <c r="AA93" i="1"/>
  <c r="AA260" i="1"/>
  <c r="AA256" i="1"/>
  <c r="AA349" i="1"/>
  <c r="AA140" i="1"/>
  <c r="AA321" i="1"/>
  <c r="AA360" i="1"/>
  <c r="AA218" i="1"/>
  <c r="AA22" i="1"/>
  <c r="AA128" i="1"/>
  <c r="AA284" i="1"/>
  <c r="AA358" i="1"/>
  <c r="AA235" i="1"/>
  <c r="AA356" i="1"/>
  <c r="AA353" i="1"/>
  <c r="AA36" i="1"/>
  <c r="AA369" i="1"/>
  <c r="AA197" i="1"/>
  <c r="AA85" i="1"/>
  <c r="AA325" i="1"/>
  <c r="U380" i="170"/>
  <c r="R380" i="170" s="1"/>
  <c r="U392" i="170"/>
  <c r="R392" i="170" s="1"/>
  <c r="U66" i="170"/>
  <c r="R66" i="170" s="1"/>
  <c r="X93" i="170"/>
  <c r="T66" i="170"/>
  <c r="Q66" i="170" s="1"/>
  <c r="S86" i="170"/>
  <c r="AO192" i="1" s="1"/>
  <c r="S93" i="170"/>
  <c r="AO292" i="1" s="1"/>
  <c r="U35" i="170"/>
  <c r="R35" i="170" s="1"/>
  <c r="T392" i="170"/>
  <c r="P35" i="170"/>
  <c r="AN212" i="1" s="1"/>
  <c r="P91" i="170"/>
  <c r="AN297" i="1" s="1"/>
  <c r="X329" i="170"/>
  <c r="X86" i="170"/>
  <c r="S329" i="170"/>
  <c r="AO350" i="1" s="1"/>
  <c r="U91" i="170"/>
  <c r="R91" i="170" s="1"/>
  <c r="AA6" i="1"/>
  <c r="AK4" i="1"/>
  <c r="S330" i="170"/>
  <c r="AO39" i="1" s="1"/>
  <c r="W146" i="170"/>
  <c r="U238" i="170"/>
  <c r="R238" i="170" s="1"/>
  <c r="X365" i="170"/>
  <c r="S365" i="170"/>
  <c r="AO66" i="1" s="1"/>
  <c r="X83" i="170"/>
  <c r="T235" i="170"/>
  <c r="S235" i="170" s="1"/>
  <c r="AO289" i="1" s="1"/>
  <c r="P235" i="170"/>
  <c r="AN289" i="1" s="1"/>
  <c r="X202" i="170"/>
  <c r="T202" i="170"/>
  <c r="S202" i="170" s="1"/>
  <c r="AO119" i="1" s="1"/>
  <c r="P202" i="170"/>
  <c r="AN119" i="1" s="1"/>
  <c r="P64" i="170"/>
  <c r="AN223" i="1" s="1"/>
  <c r="T238" i="170"/>
  <c r="U27" i="170"/>
  <c r="T382" i="170"/>
  <c r="T60" i="170"/>
  <c r="S60" i="170" s="1"/>
  <c r="AO43" i="1" s="1"/>
  <c r="X382" i="170"/>
  <c r="T41" i="170"/>
  <c r="S41" i="170" s="1"/>
  <c r="AO109" i="1" s="1"/>
  <c r="T27" i="170"/>
  <c r="Q27" i="170" s="1"/>
  <c r="X149" i="170"/>
  <c r="P384" i="170"/>
  <c r="AN122" i="1" s="1"/>
  <c r="X384" i="170"/>
  <c r="U44" i="170"/>
  <c r="R44" i="170" s="1"/>
  <c r="T384" i="170"/>
  <c r="S384" i="170" s="1"/>
  <c r="AO122" i="1" s="1"/>
  <c r="T44" i="170"/>
  <c r="Q44" i="170" s="1"/>
  <c r="T42" i="170"/>
  <c r="Q42" i="170" s="1"/>
  <c r="U163" i="170"/>
  <c r="R163" i="170" s="1"/>
  <c r="X60" i="170"/>
  <c r="T64" i="170"/>
  <c r="S331" i="170"/>
  <c r="AO266" i="1" s="1"/>
  <c r="U151" i="170"/>
  <c r="R151" i="170" s="1"/>
  <c r="S69" i="170"/>
  <c r="AO293" i="1" s="1"/>
  <c r="U42" i="170"/>
  <c r="R42" i="170" s="1"/>
  <c r="P163" i="170"/>
  <c r="AN206" i="1" s="1"/>
  <c r="X64" i="170"/>
  <c r="X235" i="170"/>
  <c r="X376" i="170"/>
  <c r="X331" i="170"/>
  <c r="R393" i="170"/>
  <c r="X393" i="170"/>
  <c r="P382" i="170"/>
  <c r="AN62" i="1" s="1"/>
  <c r="W144" i="170"/>
  <c r="Q43" i="170"/>
  <c r="U43" i="170"/>
  <c r="P243" i="170"/>
  <c r="AN46" i="1" s="1"/>
  <c r="P43" i="170"/>
  <c r="AN99" i="1" s="1"/>
  <c r="X243" i="170"/>
  <c r="T243" i="170"/>
  <c r="S243" i="170" s="1"/>
  <c r="AO46" i="1" s="1"/>
  <c r="X67" i="170"/>
  <c r="X327" i="170"/>
  <c r="T240" i="170"/>
  <c r="P240" i="170"/>
  <c r="AN143" i="1" s="1"/>
  <c r="P45" i="170"/>
  <c r="AN246" i="1" s="1"/>
  <c r="T67" i="170"/>
  <c r="Q87" i="170"/>
  <c r="S87" i="170"/>
  <c r="AO228" i="1" s="1"/>
  <c r="P161" i="170"/>
  <c r="AN277" i="1" s="1"/>
  <c r="N212" i="170"/>
  <c r="U212" i="170" s="1"/>
  <c r="R212" i="170" s="1"/>
  <c r="T151" i="170"/>
  <c r="Q151" i="170" s="1"/>
  <c r="X240" i="170"/>
  <c r="Q206" i="170"/>
  <c r="Q161" i="170"/>
  <c r="T327" i="170"/>
  <c r="X61" i="170"/>
  <c r="S85" i="170"/>
  <c r="AO271" i="1" s="1"/>
  <c r="Q85" i="170"/>
  <c r="X45" i="170"/>
  <c r="T45" i="170"/>
  <c r="U161" i="170"/>
  <c r="P67" i="170"/>
  <c r="AN34" i="1" s="1"/>
  <c r="X84" i="170"/>
  <c r="S84" i="170"/>
  <c r="AO98" i="1" s="1"/>
  <c r="T388" i="170"/>
  <c r="U388" i="170"/>
  <c r="P388" i="170"/>
  <c r="AN75" i="1" s="1"/>
  <c r="T372" i="170"/>
  <c r="U372" i="170"/>
  <c r="P372" i="170"/>
  <c r="AN32" i="1" s="1"/>
  <c r="P328" i="170"/>
  <c r="AN23" i="1" s="1"/>
  <c r="U328" i="170"/>
  <c r="T328" i="170"/>
  <c r="P204" i="170"/>
  <c r="AN323" i="1" s="1"/>
  <c r="U204" i="170"/>
  <c r="T204" i="170"/>
  <c r="T391" i="170"/>
  <c r="U391" i="170"/>
  <c r="P391" i="170"/>
  <c r="AN236" i="1" s="1"/>
  <c r="T373" i="170"/>
  <c r="P373" i="170"/>
  <c r="AN59" i="1" s="1"/>
  <c r="U90" i="170"/>
  <c r="T90" i="170"/>
  <c r="P90" i="170"/>
  <c r="AN311" i="1" s="1"/>
  <c r="U164" i="170"/>
  <c r="P164" i="170"/>
  <c r="AN263" i="1" s="1"/>
  <c r="T164" i="170"/>
  <c r="P53" i="170"/>
  <c r="AN95" i="1" s="1"/>
  <c r="U53" i="170"/>
  <c r="T53" i="170"/>
  <c r="U49" i="170"/>
  <c r="T49" i="170"/>
  <c r="P49" i="170"/>
  <c r="AN210" i="1" s="1"/>
  <c r="T209" i="170"/>
  <c r="U209" i="170"/>
  <c r="P209" i="170"/>
  <c r="AN202" i="1" s="1"/>
  <c r="U58" i="170"/>
  <c r="T58" i="170"/>
  <c r="P58" i="170"/>
  <c r="AN41" i="1" s="1"/>
  <c r="N23" i="170"/>
  <c r="T23" i="170" s="1"/>
  <c r="Q23" i="170" s="1"/>
  <c r="N316" i="170"/>
  <c r="U316" i="170" s="1"/>
  <c r="R316" i="170" s="1"/>
  <c r="N257" i="170"/>
  <c r="T257" i="170" s="1"/>
  <c r="Q257" i="170" s="1"/>
  <c r="N211" i="170"/>
  <c r="P211" i="170" s="1"/>
  <c r="AN379" i="1" s="1"/>
  <c r="N111" i="170"/>
  <c r="T111" i="170" s="1"/>
  <c r="Q111" i="170" s="1"/>
  <c r="N135" i="170"/>
  <c r="T135" i="170" s="1"/>
  <c r="Q135" i="170" s="1"/>
  <c r="N352" i="170"/>
  <c r="T352" i="170" s="1"/>
  <c r="Q352" i="170" s="1"/>
  <c r="N176" i="170"/>
  <c r="T176" i="170" s="1"/>
  <c r="Q176" i="170" s="1"/>
  <c r="N299" i="170"/>
  <c r="T299" i="170" s="1"/>
  <c r="Q299" i="170" s="1"/>
  <c r="N274" i="170"/>
  <c r="T274" i="170" s="1"/>
  <c r="N219" i="170"/>
  <c r="T219" i="170" s="1"/>
  <c r="Q219" i="170" s="1"/>
  <c r="N98" i="170"/>
  <c r="T98" i="170" s="1"/>
  <c r="Q98" i="170" s="1"/>
  <c r="N169" i="170"/>
  <c r="U169" i="170" s="1"/>
  <c r="R169" i="170" s="1"/>
  <c r="N350" i="170"/>
  <c r="U350" i="170" s="1"/>
  <c r="R350" i="170" s="1"/>
  <c r="N196" i="170"/>
  <c r="T196" i="170" s="1"/>
  <c r="Q196" i="170" s="1"/>
  <c r="N265" i="170"/>
  <c r="T265" i="170" s="1"/>
  <c r="Q265" i="170" s="1"/>
  <c r="N73" i="170"/>
  <c r="T73" i="170" s="1"/>
  <c r="Q73" i="170" s="1"/>
  <c r="N102" i="170"/>
  <c r="P102" i="170" s="1"/>
  <c r="AN232" i="1" s="1"/>
  <c r="N129" i="170"/>
  <c r="T129" i="170" s="1"/>
  <c r="Q129" i="170" s="1"/>
  <c r="N360" i="170"/>
  <c r="T360" i="170" s="1"/>
  <c r="Q360" i="170" s="1"/>
  <c r="N14" i="170"/>
  <c r="T14" i="170" s="1"/>
  <c r="N190" i="170"/>
  <c r="T190" i="170" s="1"/>
  <c r="Q190" i="170" s="1"/>
  <c r="N285" i="170"/>
  <c r="U285" i="170" s="1"/>
  <c r="R285" i="170" s="1"/>
  <c r="N99" i="170"/>
  <c r="T99" i="170" s="1"/>
  <c r="Q99" i="170" s="1"/>
  <c r="N134" i="170"/>
  <c r="T134" i="170" s="1"/>
  <c r="Q134" i="170" s="1"/>
  <c r="N340" i="170"/>
  <c r="U340" i="170" s="1"/>
  <c r="R340" i="170" s="1"/>
  <c r="N349" i="170"/>
  <c r="U349" i="170" s="1"/>
  <c r="R349" i="170" s="1"/>
  <c r="N325" i="170"/>
  <c r="U325" i="170" s="1"/>
  <c r="R325" i="170" s="1"/>
  <c r="N294" i="170"/>
  <c r="T294" i="170" s="1"/>
  <c r="N301" i="170"/>
  <c r="T301" i="170" s="1"/>
  <c r="Q301" i="170" s="1"/>
  <c r="N222" i="170"/>
  <c r="U222" i="170" s="1"/>
  <c r="R222" i="170" s="1"/>
  <c r="N95" i="170"/>
  <c r="T95" i="170" s="1"/>
  <c r="Q95" i="170" s="1"/>
  <c r="N137" i="170"/>
  <c r="U137" i="170" s="1"/>
  <c r="R137" i="170" s="1"/>
  <c r="N341" i="170"/>
  <c r="T341" i="170" s="1"/>
  <c r="Q341" i="170" s="1"/>
  <c r="N197" i="170"/>
  <c r="T197" i="170" s="1"/>
  <c r="Q197" i="170" s="1"/>
  <c r="N255" i="170"/>
  <c r="U255" i="170" s="1"/>
  <c r="R255" i="170" s="1"/>
  <c r="N80" i="170"/>
  <c r="T80" i="170" s="1"/>
  <c r="N97" i="170"/>
  <c r="T97" i="170" s="1"/>
  <c r="Q97" i="170" s="1"/>
  <c r="N307" i="170"/>
  <c r="T307" i="170" s="1"/>
  <c r="Q307" i="170" s="1"/>
  <c r="N357" i="170"/>
  <c r="U357" i="170" s="1"/>
  <c r="R357" i="170" s="1"/>
  <c r="N20" i="170"/>
  <c r="U20" i="170" s="1"/>
  <c r="R20" i="170" s="1"/>
  <c r="N317" i="170"/>
  <c r="T317" i="170" s="1"/>
  <c r="Q317" i="170" s="1"/>
  <c r="N300" i="170"/>
  <c r="N229" i="170"/>
  <c r="N127" i="170"/>
  <c r="U127" i="170" s="1"/>
  <c r="R127" i="170" s="1"/>
  <c r="N343" i="170"/>
  <c r="N184" i="170"/>
  <c r="N290" i="170"/>
  <c r="N74" i="170"/>
  <c r="N110" i="170"/>
  <c r="N310" i="170"/>
  <c r="N351" i="170"/>
  <c r="T152" i="170"/>
  <c r="T36" i="170"/>
  <c r="T147" i="170"/>
  <c r="U147" i="170"/>
  <c r="P147" i="170"/>
  <c r="AN214" i="1" s="1"/>
  <c r="P246" i="170"/>
  <c r="AN315" i="1" s="1"/>
  <c r="T246" i="170"/>
  <c r="U246" i="170"/>
  <c r="Q82" i="170"/>
  <c r="S82" i="170"/>
  <c r="AO278" i="1" s="1"/>
  <c r="R88" i="170"/>
  <c r="X88" i="170"/>
  <c r="R32" i="170"/>
  <c r="X32" i="170"/>
  <c r="T387" i="170"/>
  <c r="U387" i="170"/>
  <c r="T208" i="170"/>
  <c r="P208" i="170"/>
  <c r="AN52" i="1" s="1"/>
  <c r="U208" i="170"/>
  <c r="U54" i="170"/>
  <c r="P54" i="170"/>
  <c r="AN112" i="1" s="1"/>
  <c r="T54" i="170"/>
  <c r="U205" i="170"/>
  <c r="P205" i="170"/>
  <c r="AN103" i="1" s="1"/>
  <c r="T205" i="170"/>
  <c r="T383" i="170"/>
  <c r="P383" i="170"/>
  <c r="AN53" i="1" s="1"/>
  <c r="U242" i="170"/>
  <c r="T242" i="170"/>
  <c r="P242" i="170"/>
  <c r="AN364" i="1" s="1"/>
  <c r="U245" i="170"/>
  <c r="P245" i="170"/>
  <c r="AN84" i="1" s="1"/>
  <c r="T245" i="170"/>
  <c r="S32" i="170"/>
  <c r="AO367" i="1" s="1"/>
  <c r="Q32" i="170"/>
  <c r="U158" i="170"/>
  <c r="T158" i="170"/>
  <c r="P158" i="170"/>
  <c r="AN27" i="1" s="1"/>
  <c r="U56" i="170"/>
  <c r="P56" i="170"/>
  <c r="AN249" i="1" s="1"/>
  <c r="T56" i="170"/>
  <c r="T160" i="170"/>
  <c r="P160" i="170"/>
  <c r="AN170" i="1" s="1"/>
  <c r="U160" i="170"/>
  <c r="U162" i="170"/>
  <c r="P162" i="170"/>
  <c r="AN368" i="1" s="1"/>
  <c r="T162" i="170"/>
  <c r="N105" i="170"/>
  <c r="O138" i="170"/>
  <c r="V138" i="170" s="1"/>
  <c r="R82" i="170"/>
  <c r="X82" i="170"/>
  <c r="U394" i="170"/>
  <c r="P394" i="170"/>
  <c r="AN237" i="1" s="1"/>
  <c r="T394" i="170"/>
  <c r="U63" i="170"/>
  <c r="T63" i="170"/>
  <c r="P63" i="170"/>
  <c r="AN42" i="1" s="1"/>
  <c r="T371" i="170"/>
  <c r="P371" i="170"/>
  <c r="AN58" i="1" s="1"/>
  <c r="U371" i="170"/>
  <c r="W105" i="170"/>
  <c r="N188" i="170"/>
  <c r="T188" i="170" s="1"/>
  <c r="Q188" i="170" s="1"/>
  <c r="N266" i="170"/>
  <c r="T266" i="170" s="1"/>
  <c r="Q266" i="170" s="1"/>
  <c r="N297" i="170"/>
  <c r="T297" i="170" s="1"/>
  <c r="Q297" i="170" s="1"/>
  <c r="N217" i="170"/>
  <c r="T217" i="170" s="1"/>
  <c r="Q217" i="170" s="1"/>
  <c r="N96" i="170"/>
  <c r="T96" i="170" s="1"/>
  <c r="Q96" i="170" s="1"/>
  <c r="N10" i="170"/>
  <c r="T10" i="170" s="1"/>
  <c r="Q10" i="170" s="1"/>
  <c r="N338" i="170"/>
  <c r="T338" i="170" s="1"/>
  <c r="Q338" i="170" s="1"/>
  <c r="N178" i="170"/>
  <c r="P178" i="170" s="1"/>
  <c r="AN26" i="1" s="1"/>
  <c r="N262" i="170"/>
  <c r="U262" i="170" s="1"/>
  <c r="R262" i="170" s="1"/>
  <c r="N258" i="170"/>
  <c r="P258" i="170" s="1"/>
  <c r="AN233" i="1" s="1"/>
  <c r="N101" i="170"/>
  <c r="T101" i="170" s="1"/>
  <c r="Q101" i="170" s="1"/>
  <c r="N120" i="170"/>
  <c r="P120" i="170" s="1"/>
  <c r="AN178" i="1" s="1"/>
  <c r="N358" i="170"/>
  <c r="T358" i="170" s="1"/>
  <c r="Q358" i="170" s="1"/>
  <c r="N17" i="170"/>
  <c r="T17" i="170" s="1"/>
  <c r="Q17" i="170" s="1"/>
  <c r="N183" i="170"/>
  <c r="T183" i="170" s="1"/>
  <c r="Q183" i="170" s="1"/>
  <c r="N254" i="170"/>
  <c r="U254" i="170" s="1"/>
  <c r="R254" i="170" s="1"/>
  <c r="N221" i="170"/>
  <c r="T221" i="170" s="1"/>
  <c r="Q221" i="170" s="1"/>
  <c r="N106" i="170"/>
  <c r="T106" i="170" s="1"/>
  <c r="Q106" i="170" s="1"/>
  <c r="N309" i="170"/>
  <c r="P309" i="170" s="1"/>
  <c r="AN55" i="1" s="1"/>
  <c r="N363" i="170"/>
  <c r="P363" i="170" s="1"/>
  <c r="AN97" i="1" s="1"/>
  <c r="N322" i="170"/>
  <c r="T322" i="170" s="1"/>
  <c r="Q322" i="170" s="1"/>
  <c r="N293" i="170"/>
  <c r="P293" i="170" s="1"/>
  <c r="AN175" i="1" s="1"/>
  <c r="N276" i="170"/>
  <c r="U276" i="170" s="1"/>
  <c r="R276" i="170" s="1"/>
  <c r="N228" i="170"/>
  <c r="P228" i="170" s="1"/>
  <c r="AN86" i="1" s="1"/>
  <c r="N126" i="170"/>
  <c r="T126" i="170" s="1"/>
  <c r="Q126" i="170" s="1"/>
  <c r="N170" i="170"/>
  <c r="T170" i="170" s="1"/>
  <c r="Q170" i="170" s="1"/>
  <c r="N362" i="170"/>
  <c r="P362" i="170" s="1"/>
  <c r="AN226" i="1" s="1"/>
  <c r="N171" i="170"/>
  <c r="U171" i="170" s="1"/>
  <c r="R171" i="170" s="1"/>
  <c r="N195" i="170"/>
  <c r="T195" i="170" s="1"/>
  <c r="Q195" i="170" s="1"/>
  <c r="N267" i="170"/>
  <c r="T267" i="170" s="1"/>
  <c r="Q267" i="170" s="1"/>
  <c r="N275" i="170"/>
  <c r="T275" i="170" s="1"/>
  <c r="Q275" i="170" s="1"/>
  <c r="N213" i="170"/>
  <c r="T213" i="170" s="1"/>
  <c r="Q213" i="170" s="1"/>
  <c r="N100" i="170"/>
  <c r="T100" i="170" s="1"/>
  <c r="Q100" i="170" s="1"/>
  <c r="N334" i="170"/>
  <c r="T334" i="170" s="1"/>
  <c r="Q334" i="170" s="1"/>
  <c r="N15" i="170"/>
  <c r="T15" i="170" s="1"/>
  <c r="Q15" i="170" s="1"/>
  <c r="N318" i="170"/>
  <c r="T318" i="170" s="1"/>
  <c r="Q318" i="170" s="1"/>
  <c r="N296" i="170"/>
  <c r="T296" i="170" s="1"/>
  <c r="Q296" i="170" s="1"/>
  <c r="N216" i="170"/>
  <c r="T216" i="170" s="1"/>
  <c r="Q216" i="170" s="1"/>
  <c r="N114" i="170"/>
  <c r="U114" i="170" s="1"/>
  <c r="R114" i="170" s="1"/>
  <c r="N141" i="170"/>
  <c r="T141" i="170" s="1"/>
  <c r="Q141" i="170" s="1"/>
  <c r="N339" i="170"/>
  <c r="T339" i="170" s="1"/>
  <c r="Q339" i="170" s="1"/>
  <c r="N323" i="170"/>
  <c r="T323" i="170" s="1"/>
  <c r="Q323" i="170" s="1"/>
  <c r="N288" i="170"/>
  <c r="U288" i="170" s="1"/>
  <c r="X288" i="170" s="1"/>
  <c r="N287" i="170"/>
  <c r="N225" i="170"/>
  <c r="N122" i="170"/>
  <c r="N22" i="170"/>
  <c r="N321" i="170"/>
  <c r="N289" i="170"/>
  <c r="N231" i="170"/>
  <c r="N109" i="170"/>
  <c r="N139" i="170"/>
  <c r="N335" i="170"/>
  <c r="U36" i="170"/>
  <c r="U373" i="170"/>
  <c r="T200" i="170"/>
  <c r="U200" i="170"/>
  <c r="P200" i="170"/>
  <c r="AN61" i="1" s="1"/>
  <c r="P241" i="170"/>
  <c r="AN135" i="1" s="1"/>
  <c r="U241" i="170"/>
  <c r="T241" i="170"/>
  <c r="P153" i="170"/>
  <c r="AN275" i="1" s="1"/>
  <c r="T153" i="170"/>
  <c r="U153" i="170"/>
  <c r="Q88" i="170"/>
  <c r="S88" i="170"/>
  <c r="AO133" i="1" s="1"/>
  <c r="U62" i="170"/>
  <c r="P62" i="170"/>
  <c r="AN291" i="1" s="1"/>
  <c r="T39" i="170"/>
  <c r="U39" i="170"/>
  <c r="T396" i="170"/>
  <c r="U396" i="170"/>
  <c r="P396" i="170"/>
  <c r="AN117" i="1" s="1"/>
  <c r="S34" i="170"/>
  <c r="AO373" i="1" s="1"/>
  <c r="Q34" i="170"/>
  <c r="T390" i="170"/>
  <c r="P390" i="170"/>
  <c r="AN68" i="1" s="1"/>
  <c r="S397" i="170"/>
  <c r="AO70" i="1" s="1"/>
  <c r="P327" i="170"/>
  <c r="AN24" i="1" s="1"/>
  <c r="N251" i="170"/>
  <c r="T51" i="170"/>
  <c r="U51" i="170"/>
  <c r="P51" i="170"/>
  <c r="AN248" i="1" s="1"/>
  <c r="U65" i="170"/>
  <c r="T65" i="170"/>
  <c r="P65" i="170"/>
  <c r="AN354" i="1" s="1"/>
  <c r="U25" i="170"/>
  <c r="T25" i="170"/>
  <c r="P25" i="170"/>
  <c r="AN182" i="1" s="1"/>
  <c r="U132" i="170"/>
  <c r="P132" i="170"/>
  <c r="AN80" i="1" s="1"/>
  <c r="P207" i="170"/>
  <c r="AN124" i="1" s="1"/>
  <c r="U207" i="170"/>
  <c r="T207" i="170"/>
  <c r="P378" i="170"/>
  <c r="AN63" i="1" s="1"/>
  <c r="U378" i="170"/>
  <c r="T378" i="170"/>
  <c r="U57" i="170"/>
  <c r="T57" i="170"/>
  <c r="P57" i="170"/>
  <c r="AN385" i="1" s="1"/>
  <c r="U395" i="170"/>
  <c r="T395" i="170"/>
  <c r="P395" i="170"/>
  <c r="AN64" i="1" s="1"/>
  <c r="U157" i="170"/>
  <c r="T157" i="170"/>
  <c r="P157" i="170"/>
  <c r="AN149" i="1" s="1"/>
  <c r="R332" i="170"/>
  <c r="X332" i="170"/>
  <c r="U165" i="170"/>
  <c r="T165" i="170"/>
  <c r="P165" i="170"/>
  <c r="AN25" i="1" s="1"/>
  <c r="T381" i="170"/>
  <c r="U381" i="170"/>
  <c r="P381" i="170"/>
  <c r="AN69" i="1" s="1"/>
  <c r="T59" i="170"/>
  <c r="P59" i="170"/>
  <c r="AN90" i="1" s="1"/>
  <c r="U59" i="170"/>
  <c r="U385" i="170"/>
  <c r="T385" i="170"/>
  <c r="P385" i="170"/>
  <c r="AN105" i="1" s="1"/>
  <c r="T393" i="170"/>
  <c r="P393" i="170"/>
  <c r="AN239" i="1" s="1"/>
  <c r="T389" i="170"/>
  <c r="U389" i="170"/>
  <c r="P374" i="170"/>
  <c r="AN121" i="1" s="1"/>
  <c r="U374" i="170"/>
  <c r="T374" i="170"/>
  <c r="N138" i="170"/>
  <c r="U138" i="170" s="1"/>
  <c r="N191" i="170"/>
  <c r="U191" i="170" s="1"/>
  <c r="R191" i="170" s="1"/>
  <c r="N278" i="170"/>
  <c r="U278" i="170" s="1"/>
  <c r="R278" i="170" s="1"/>
  <c r="N281" i="170"/>
  <c r="T281" i="170" s="1"/>
  <c r="Q281" i="170" s="1"/>
  <c r="N103" i="170"/>
  <c r="T103" i="170" s="1"/>
  <c r="Q103" i="170" s="1"/>
  <c r="N128" i="170"/>
  <c r="T128" i="170" s="1"/>
  <c r="Q128" i="170" s="1"/>
  <c r="N356" i="170"/>
  <c r="U356" i="170" s="1"/>
  <c r="R356" i="170" s="1"/>
  <c r="N24" i="170"/>
  <c r="T24" i="170" s="1"/>
  <c r="Q24" i="170" s="1"/>
  <c r="N180" i="170"/>
  <c r="T180" i="170" s="1"/>
  <c r="Q180" i="170" s="1"/>
  <c r="N298" i="170"/>
  <c r="T298" i="170" s="1"/>
  <c r="Q298" i="170" s="1"/>
  <c r="N76" i="170"/>
  <c r="T76" i="170" s="1"/>
  <c r="Q76" i="170" s="1"/>
  <c r="N119" i="170"/>
  <c r="T119" i="170" s="1"/>
  <c r="Q119" i="170" s="1"/>
  <c r="N312" i="170"/>
  <c r="T312" i="170" s="1"/>
  <c r="Q312" i="170" s="1"/>
  <c r="N348" i="170"/>
  <c r="U348" i="170" s="1"/>
  <c r="R348" i="170" s="1"/>
  <c r="N19" i="170"/>
  <c r="U19" i="170" s="1"/>
  <c r="R19" i="170" s="1"/>
  <c r="N320" i="170"/>
  <c r="T320" i="170" s="1"/>
  <c r="Q320" i="170" s="1"/>
  <c r="N291" i="170"/>
  <c r="T291" i="170" s="1"/>
  <c r="Q291" i="170" s="1"/>
  <c r="N218" i="170"/>
  <c r="T218" i="170" s="1"/>
  <c r="Q218" i="170" s="1"/>
  <c r="N125" i="170"/>
  <c r="T125" i="170" s="1"/>
  <c r="Q125" i="170" s="1"/>
  <c r="N140" i="170"/>
  <c r="P140" i="170" s="1"/>
  <c r="AN81" i="1" s="1"/>
  <c r="N347" i="170"/>
  <c r="T347" i="170" s="1"/>
  <c r="Q347" i="170" s="1"/>
  <c r="N185" i="170"/>
  <c r="U185" i="170" s="1"/>
  <c r="R185" i="170" s="1"/>
  <c r="N268" i="170"/>
  <c r="T268" i="170" s="1"/>
  <c r="Q268" i="170" s="1"/>
  <c r="N78" i="170"/>
  <c r="T78" i="170" s="1"/>
  <c r="Q78" i="170" s="1"/>
  <c r="N123" i="170"/>
  <c r="T123" i="170" s="1"/>
  <c r="Q123" i="170" s="1"/>
  <c r="N311" i="170"/>
  <c r="U311" i="170" s="1"/>
  <c r="R311" i="170" s="1"/>
  <c r="N344" i="170"/>
  <c r="T344" i="170" s="1"/>
  <c r="Q344" i="170" s="1"/>
  <c r="N166" i="170"/>
  <c r="T166" i="170" s="1"/>
  <c r="Q166" i="170" s="1"/>
  <c r="N361" i="170"/>
  <c r="T361" i="170" s="1"/>
  <c r="Q361" i="170" s="1"/>
  <c r="N186" i="170"/>
  <c r="P186" i="170" s="1"/>
  <c r="AN318" i="1" s="1"/>
  <c r="N273" i="170"/>
  <c r="T273" i="170" s="1"/>
  <c r="Q273" i="170" s="1"/>
  <c r="N79" i="170"/>
  <c r="T79" i="170" s="1"/>
  <c r="Q79" i="170" s="1"/>
  <c r="N118" i="170"/>
  <c r="T118" i="170" s="1"/>
  <c r="Q118" i="170" s="1"/>
  <c r="N308" i="170"/>
  <c r="U308" i="170" s="1"/>
  <c r="R308" i="170" s="1"/>
  <c r="N355" i="170"/>
  <c r="T355" i="170" s="1"/>
  <c r="Q355" i="170" s="1"/>
  <c r="N324" i="170"/>
  <c r="U324" i="170" s="1"/>
  <c r="R324" i="170" s="1"/>
  <c r="N259" i="170"/>
  <c r="T259" i="170" s="1"/>
  <c r="Q259" i="170" s="1"/>
  <c r="N260" i="170"/>
  <c r="T260" i="170" s="1"/>
  <c r="Q260" i="170" s="1"/>
  <c r="N223" i="170"/>
  <c r="U223" i="170" s="1"/>
  <c r="R223" i="170" s="1"/>
  <c r="N94" i="170"/>
  <c r="T94" i="170" s="1"/>
  <c r="Q94" i="170" s="1"/>
  <c r="N143" i="170"/>
  <c r="T143" i="170" s="1"/>
  <c r="Q143" i="170" s="1"/>
  <c r="N336" i="170"/>
  <c r="T336" i="170" s="1"/>
  <c r="N187" i="170"/>
  <c r="U187" i="170" s="1"/>
  <c r="R187" i="170" s="1"/>
  <c r="N263" i="170"/>
  <c r="T263" i="170" s="1"/>
  <c r="Q263" i="170" s="1"/>
  <c r="N279" i="170"/>
  <c r="T279" i="170" s="1"/>
  <c r="Q279" i="170" s="1"/>
  <c r="N214" i="170"/>
  <c r="U214" i="170" s="1"/>
  <c r="R214" i="170" s="1"/>
  <c r="N115" i="170"/>
  <c r="T115" i="170" s="1"/>
  <c r="Q115" i="170" s="1"/>
  <c r="N326" i="170"/>
  <c r="T326" i="170" s="1"/>
  <c r="Q326" i="170" s="1"/>
  <c r="N261" i="170"/>
  <c r="U261" i="170" s="1"/>
  <c r="R261" i="170" s="1"/>
  <c r="N280" i="170"/>
  <c r="U280" i="170" s="1"/>
  <c r="R280" i="170" s="1"/>
  <c r="N220" i="170"/>
  <c r="U220" i="170" s="1"/>
  <c r="R220" i="170" s="1"/>
  <c r="N116" i="170"/>
  <c r="U116" i="170" s="1"/>
  <c r="R116" i="170" s="1"/>
  <c r="N11" i="170"/>
  <c r="U11" i="170" s="1"/>
  <c r="N345" i="170"/>
  <c r="U345" i="170" s="1"/>
  <c r="R345" i="170" s="1"/>
  <c r="T52" i="170"/>
  <c r="P52" i="170"/>
  <c r="AN106" i="1" s="1"/>
  <c r="U52" i="170"/>
  <c r="T201" i="170"/>
  <c r="P201" i="170"/>
  <c r="AN79" i="1" s="1"/>
  <c r="U201" i="170"/>
  <c r="T148" i="170"/>
  <c r="P148" i="170"/>
  <c r="AN363" i="1" s="1"/>
  <c r="U148" i="170"/>
  <c r="Q332" i="170"/>
  <c r="S332" i="170"/>
  <c r="AO357" i="1" s="1"/>
  <c r="AP357" i="1" s="1"/>
  <c r="AQ357" i="1" s="1"/>
  <c r="AR357" i="1" s="1"/>
  <c r="AS357" i="1" s="1"/>
  <c r="U37" i="170"/>
  <c r="T37" i="170"/>
  <c r="P37" i="170"/>
  <c r="AN299" i="1" s="1"/>
  <c r="U152" i="170"/>
  <c r="U383" i="170"/>
  <c r="T38" i="170"/>
  <c r="P38" i="170"/>
  <c r="AN108" i="1" s="1"/>
  <c r="U38" i="170"/>
  <c r="P379" i="170"/>
  <c r="AN65" i="1" s="1"/>
  <c r="U379" i="170"/>
  <c r="T379" i="170"/>
  <c r="T386" i="170"/>
  <c r="U386" i="170"/>
  <c r="P386" i="170"/>
  <c r="AN361" i="1" s="1"/>
  <c r="U131" i="170"/>
  <c r="P131" i="170"/>
  <c r="AN186" i="1" s="1"/>
  <c r="T131" i="170"/>
  <c r="T48" i="170"/>
  <c r="P48" i="170"/>
  <c r="AN209" i="1" s="1"/>
  <c r="U48" i="170"/>
  <c r="T68" i="170"/>
  <c r="U68" i="170"/>
  <c r="P68" i="170"/>
  <c r="AN107" i="1" s="1"/>
  <c r="U236" i="170"/>
  <c r="T236" i="170"/>
  <c r="P236" i="170"/>
  <c r="AN272" i="1" s="1"/>
  <c r="T237" i="170"/>
  <c r="U237" i="170"/>
  <c r="P237" i="170"/>
  <c r="AN142" i="1" s="1"/>
  <c r="P40" i="170"/>
  <c r="AN120" i="1" s="1"/>
  <c r="U40" i="170"/>
  <c r="T40" i="170"/>
  <c r="T203" i="170"/>
  <c r="P203" i="170"/>
  <c r="AN125" i="1" s="1"/>
  <c r="U203" i="170"/>
  <c r="Q333" i="170"/>
  <c r="S333" i="170"/>
  <c r="AO162" i="1" s="1"/>
  <c r="U154" i="170"/>
  <c r="P154" i="170"/>
  <c r="AN288" i="1" s="1"/>
  <c r="T154" i="170"/>
  <c r="P47" i="170"/>
  <c r="AN89" i="1" s="1"/>
  <c r="U47" i="170"/>
  <c r="T47" i="170"/>
  <c r="U26" i="170"/>
  <c r="T26" i="170"/>
  <c r="P26" i="170"/>
  <c r="AN183" i="1" s="1"/>
  <c r="U150" i="170"/>
  <c r="P150" i="170"/>
  <c r="AN200" i="1" s="1"/>
  <c r="T150" i="170"/>
  <c r="R315" i="170"/>
  <c r="X315" i="170"/>
  <c r="N144" i="170"/>
  <c r="P144" i="170" s="1"/>
  <c r="AN18" i="1" s="1"/>
  <c r="N18" i="170"/>
  <c r="T18" i="170" s="1"/>
  <c r="Q18" i="170" s="1"/>
  <c r="N181" i="170"/>
  <c r="P181" i="170" s="1"/>
  <c r="AN319" i="1" s="1"/>
  <c r="N253" i="170"/>
  <c r="U253" i="170" s="1"/>
  <c r="R253" i="170" s="1"/>
  <c r="N75" i="170"/>
  <c r="P75" i="170" s="1"/>
  <c r="AN338" i="1" s="1"/>
  <c r="N117" i="170"/>
  <c r="P117" i="170" s="1"/>
  <c r="AN303" i="1" s="1"/>
  <c r="N314" i="170"/>
  <c r="P314" i="170" s="1"/>
  <c r="AN351" i="1" s="1"/>
  <c r="N364" i="170"/>
  <c r="U364" i="170" s="1"/>
  <c r="R364" i="170" s="1"/>
  <c r="N16" i="170"/>
  <c r="P16" i="170" s="1"/>
  <c r="AN28" i="1" s="1"/>
  <c r="N319" i="170"/>
  <c r="T319" i="170" s="1"/>
  <c r="Q319" i="170" s="1"/>
  <c r="N269" i="170"/>
  <c r="P269" i="170" s="1"/>
  <c r="AN191" i="1" s="1"/>
  <c r="N224" i="170"/>
  <c r="T224" i="170" s="1"/>
  <c r="Q224" i="170" s="1"/>
  <c r="N108" i="170"/>
  <c r="T108" i="170" s="1"/>
  <c r="Q108" i="170" s="1"/>
  <c r="N136" i="170"/>
  <c r="T136" i="170" s="1"/>
  <c r="N337" i="170"/>
  <c r="T337" i="170" s="1"/>
  <c r="Q337" i="170" s="1"/>
  <c r="N177" i="170"/>
  <c r="T177" i="170" s="1"/>
  <c r="Q177" i="170" s="1"/>
  <c r="N292" i="170"/>
  <c r="P292" i="170" s="1"/>
  <c r="AN130" i="1" s="1"/>
  <c r="N256" i="170"/>
  <c r="T256" i="170" s="1"/>
  <c r="Q256" i="170" s="1"/>
  <c r="N210" i="170"/>
  <c r="T210" i="170" s="1"/>
  <c r="Q210" i="170" s="1"/>
  <c r="N121" i="170"/>
  <c r="T121" i="170" s="1"/>
  <c r="Q121" i="170" s="1"/>
  <c r="N168" i="170"/>
  <c r="P168" i="170" s="1"/>
  <c r="AN312" i="1" s="1"/>
  <c r="N354" i="170"/>
  <c r="T354" i="170" s="1"/>
  <c r="Q354" i="170" s="1"/>
  <c r="N179" i="170"/>
  <c r="P179" i="170" s="1"/>
  <c r="AN301" i="1" s="1"/>
  <c r="N286" i="170"/>
  <c r="T286" i="170" s="1"/>
  <c r="Q286" i="170" s="1"/>
  <c r="N230" i="170"/>
  <c r="P230" i="170" s="1"/>
  <c r="AN264" i="1" s="1"/>
  <c r="N104" i="170"/>
  <c r="T104" i="170" s="1"/>
  <c r="Q104" i="170" s="1"/>
  <c r="N306" i="170"/>
  <c r="P306" i="170" s="1"/>
  <c r="AN322" i="1" s="1"/>
  <c r="N342" i="170"/>
  <c r="T342" i="170" s="1"/>
  <c r="Q342" i="170" s="1"/>
  <c r="N346" i="170"/>
  <c r="T346" i="170" s="1"/>
  <c r="Q346" i="170" s="1"/>
  <c r="N21" i="170"/>
  <c r="U21" i="170" s="1"/>
  <c r="R21" i="170" s="1"/>
  <c r="N189" i="170"/>
  <c r="T189" i="170" s="1"/>
  <c r="Q189" i="170" s="1"/>
  <c r="N271" i="170"/>
  <c r="T271" i="170" s="1"/>
  <c r="Q271" i="170" s="1"/>
  <c r="N227" i="170"/>
  <c r="T227" i="170" s="1"/>
  <c r="Q227" i="170" s="1"/>
  <c r="N107" i="170"/>
  <c r="U107" i="170" s="1"/>
  <c r="R107" i="170" s="1"/>
  <c r="N142" i="170"/>
  <c r="T142" i="170" s="1"/>
  <c r="Q142" i="170" s="1"/>
  <c r="N9" i="170"/>
  <c r="T9" i="170" s="1"/>
  <c r="Q9" i="170" s="1"/>
  <c r="N182" i="170"/>
  <c r="T182" i="170" s="1"/>
  <c r="Q182" i="170" s="1"/>
  <c r="N283" i="170"/>
  <c r="T283" i="170" s="1"/>
  <c r="Q283" i="170" s="1"/>
  <c r="N284" i="170"/>
  <c r="U284" i="170" s="1"/>
  <c r="R284" i="170" s="1"/>
  <c r="N215" i="170"/>
  <c r="T215" i="170" s="1"/>
  <c r="Q215" i="170" s="1"/>
  <c r="N112" i="170"/>
  <c r="U112" i="170" s="1"/>
  <c r="R112" i="170" s="1"/>
  <c r="N167" i="170"/>
  <c r="N359" i="170"/>
  <c r="N192" i="170"/>
  <c r="U192" i="170" s="1"/>
  <c r="R192" i="170" s="1"/>
  <c r="N295" i="170"/>
  <c r="T295" i="170" s="1"/>
  <c r="Q295" i="170" s="1"/>
  <c r="N77" i="170"/>
  <c r="N113" i="170"/>
  <c r="N145" i="170"/>
  <c r="N194" i="170"/>
  <c r="N252" i="170"/>
  <c r="N264" i="170"/>
  <c r="N226" i="170"/>
  <c r="N124" i="170"/>
  <c r="N353" i="170"/>
  <c r="N313" i="170"/>
  <c r="T244" i="170"/>
  <c r="P244" i="170"/>
  <c r="AN267" i="1" s="1"/>
  <c r="U244" i="170"/>
  <c r="T50" i="170"/>
  <c r="U50" i="170"/>
  <c r="P50" i="170"/>
  <c r="AN91" i="1" s="1"/>
  <c r="T159" i="170"/>
  <c r="U159" i="170"/>
  <c r="P159" i="170"/>
  <c r="AN148" i="1" s="1"/>
  <c r="R333" i="170"/>
  <c r="X333" i="170"/>
  <c r="T5" i="170"/>
  <c r="P5" i="170"/>
  <c r="AN261" i="1" s="1"/>
  <c r="P55" i="170"/>
  <c r="AN219" i="1" s="1"/>
  <c r="U55" i="170"/>
  <c r="T55" i="170"/>
  <c r="S315" i="170"/>
  <c r="AO21" i="1" s="1"/>
  <c r="Q315" i="170"/>
  <c r="U92" i="170"/>
  <c r="T92" i="170"/>
  <c r="S376" i="170"/>
  <c r="AO114" i="1" s="1"/>
  <c r="X390" i="170"/>
  <c r="S61" i="170"/>
  <c r="AO118" i="1" s="1"/>
  <c r="X397" i="170"/>
  <c r="P294" i="170"/>
  <c r="AN48" i="1" s="1"/>
  <c r="U134" i="170"/>
  <c r="R134" i="170" s="1"/>
  <c r="P73" i="170"/>
  <c r="AN38" i="1" s="1"/>
  <c r="U73" i="170"/>
  <c r="R73" i="170" s="1"/>
  <c r="U277" i="170"/>
  <c r="T137" i="170"/>
  <c r="Q137" i="170" s="1"/>
  <c r="R175" i="170"/>
  <c r="Q80" i="170"/>
  <c r="S175" i="170"/>
  <c r="AO11" i="1" s="1"/>
  <c r="Q175" i="170"/>
  <c r="Q294" i="170"/>
  <c r="T193" i="170"/>
  <c r="U193" i="170"/>
  <c r="U375" i="170"/>
  <c r="T375" i="170"/>
  <c r="U174" i="170"/>
  <c r="R174" i="170" s="1"/>
  <c r="T174" i="170"/>
  <c r="T270" i="170"/>
  <c r="U270" i="170"/>
  <c r="R270" i="170" s="1"/>
  <c r="Q14" i="170"/>
  <c r="N272" i="170"/>
  <c r="O282" i="170"/>
  <c r="O375" i="170"/>
  <c r="P174" i="170"/>
  <c r="AN6" i="1" s="1"/>
  <c r="P270" i="170"/>
  <c r="AN8" i="1" s="1"/>
  <c r="O193" i="170"/>
  <c r="O277" i="170"/>
  <c r="N282" i="170"/>
  <c r="O272" i="170"/>
  <c r="O251" i="170"/>
  <c r="X175" i="170"/>
  <c r="N146" i="170"/>
  <c r="M11" i="71"/>
  <c r="M43" i="71"/>
  <c r="O43" i="71" s="1"/>
  <c r="P43" i="71" s="1"/>
  <c r="N40" i="71"/>
  <c r="O40" i="71" s="1"/>
  <c r="P40" i="71" s="1"/>
  <c r="N22" i="71"/>
  <c r="N44" i="71"/>
  <c r="O44" i="71" s="1"/>
  <c r="P44" i="71" s="1"/>
  <c r="AA17" i="1"/>
  <c r="AP269" i="1"/>
  <c r="AQ269" i="1" s="1"/>
  <c r="AR269" i="1" s="1"/>
  <c r="AS269" i="1" s="1"/>
  <c r="AP394" i="1"/>
  <c r="AQ394" i="1" s="1"/>
  <c r="AR394" i="1" s="1"/>
  <c r="AS394" i="1" s="1"/>
  <c r="AP395" i="1"/>
  <c r="AQ395" i="1" s="1"/>
  <c r="AR395" i="1" s="1"/>
  <c r="AS395" i="1" s="1"/>
  <c r="N11" i="71"/>
  <c r="N15" i="71"/>
  <c r="O15" i="71" s="1"/>
  <c r="P15" i="71" s="1"/>
  <c r="N17" i="71"/>
  <c r="O17" i="71" s="1"/>
  <c r="P17" i="71" s="1"/>
  <c r="N7" i="71"/>
  <c r="O7" i="71" s="1"/>
  <c r="P7" i="71" s="1"/>
  <c r="Z6" i="1"/>
  <c r="AJ4" i="1"/>
  <c r="O57" i="71"/>
  <c r="P57" i="71" s="1"/>
  <c r="M54" i="71"/>
  <c r="O54" i="71" s="1"/>
  <c r="P54" i="71" s="1"/>
  <c r="O35" i="71"/>
  <c r="P35" i="71" s="1"/>
  <c r="M8" i="71"/>
  <c r="O8" i="71" s="1"/>
  <c r="P8" i="71" s="1"/>
  <c r="Z16" i="1"/>
  <c r="M53" i="71"/>
  <c r="O53" i="71" s="1"/>
  <c r="P53" i="71" s="1"/>
  <c r="M49" i="71"/>
  <c r="O49" i="71" s="1"/>
  <c r="P49" i="71" s="1"/>
  <c r="O51" i="71"/>
  <c r="P51" i="71" s="1"/>
  <c r="M22" i="71"/>
  <c r="M41" i="71"/>
  <c r="O41" i="71" s="1"/>
  <c r="P41" i="71" s="1"/>
  <c r="O26" i="71"/>
  <c r="P26" i="71" s="1"/>
  <c r="Z10" i="1"/>
  <c r="M5" i="71"/>
  <c r="O55" i="71"/>
  <c r="P55" i="71" s="1"/>
  <c r="N31" i="71"/>
  <c r="N5" i="71"/>
  <c r="N30" i="71"/>
  <c r="M37" i="71"/>
  <c r="N37" i="71"/>
  <c r="M20" i="71"/>
  <c r="N20" i="71"/>
  <c r="M30" i="71"/>
  <c r="M14" i="71"/>
  <c r="O14" i="71" s="1"/>
  <c r="P14" i="71" s="1"/>
  <c r="N9" i="71"/>
  <c r="M9" i="71"/>
  <c r="M31" i="71"/>
  <c r="O36" i="71"/>
  <c r="P36" i="71" s="1"/>
  <c r="N32" i="71"/>
  <c r="M32" i="71"/>
  <c r="M33" i="71"/>
  <c r="N33" i="71"/>
  <c r="O25" i="71"/>
  <c r="P25" i="71" s="1"/>
  <c r="N48" i="71"/>
  <c r="M48" i="71"/>
  <c r="O38" i="71"/>
  <c r="P38" i="71" s="1"/>
  <c r="O24" i="71"/>
  <c r="P24" i="71" s="1"/>
  <c r="O23" i="71"/>
  <c r="P23" i="71" s="1"/>
  <c r="O45" i="71"/>
  <c r="P45" i="71" s="1"/>
  <c r="Z13" i="1"/>
  <c r="O52" i="71"/>
  <c r="P52" i="71" s="1"/>
  <c r="O6" i="71"/>
  <c r="P6" i="71" s="1"/>
  <c r="N10" i="71"/>
  <c r="AA13" i="1"/>
  <c r="N42" i="71"/>
  <c r="O58" i="71"/>
  <c r="P58" i="71" s="1"/>
  <c r="O19" i="71"/>
  <c r="P19" i="71" s="1"/>
  <c r="O27" i="71"/>
  <c r="P27" i="71" s="1"/>
  <c r="O18" i="71"/>
  <c r="P18" i="71" s="1"/>
  <c r="N34" i="71"/>
  <c r="M42" i="71"/>
  <c r="N13" i="71"/>
  <c r="M16" i="71"/>
  <c r="M13" i="71"/>
  <c r="M21" i="71"/>
  <c r="N21" i="71"/>
  <c r="M10" i="71"/>
  <c r="O12" i="71"/>
  <c r="P12" i="71" s="1"/>
  <c r="N16" i="71"/>
  <c r="O39" i="71"/>
  <c r="P39" i="71" s="1"/>
  <c r="O47" i="71"/>
  <c r="P47" i="71" s="1"/>
  <c r="N46" i="71"/>
  <c r="M34" i="71"/>
  <c r="O29" i="71"/>
  <c r="P29" i="71" s="1"/>
  <c r="M46" i="71"/>
  <c r="T222" i="170" l="1"/>
  <c r="S222" i="170" s="1"/>
  <c r="AO201" i="1" s="1"/>
  <c r="X380" i="170"/>
  <c r="U219" i="170"/>
  <c r="R219" i="170" s="1"/>
  <c r="X46" i="170"/>
  <c r="S46" i="170"/>
  <c r="AO111" i="1" s="1"/>
  <c r="S149" i="170"/>
  <c r="AO274" i="1" s="1"/>
  <c r="AP274" i="1" s="1"/>
  <c r="AQ274" i="1" s="1"/>
  <c r="AR274" i="1" s="1"/>
  <c r="AS274" i="1" s="1"/>
  <c r="U176" i="170"/>
  <c r="R176" i="170" s="1"/>
  <c r="Q234" i="170"/>
  <c r="Q199" i="170"/>
  <c r="S392" i="170"/>
  <c r="AO241" i="1" s="1"/>
  <c r="AP241" i="1" s="1"/>
  <c r="AQ241" i="1" s="1"/>
  <c r="AR241" i="1" s="1"/>
  <c r="AS241" i="1" s="1"/>
  <c r="P257" i="170"/>
  <c r="AN137" i="1" s="1"/>
  <c r="X392" i="170"/>
  <c r="P285" i="170"/>
  <c r="AN310" i="1" s="1"/>
  <c r="P197" i="170"/>
  <c r="AN375" i="1" s="1"/>
  <c r="U196" i="170"/>
  <c r="R196" i="170" s="1"/>
  <c r="U352" i="170"/>
  <c r="R352" i="170" s="1"/>
  <c r="X222" i="170"/>
  <c r="P196" i="170"/>
  <c r="AN127" i="1" s="1"/>
  <c r="Q392" i="170"/>
  <c r="T362" i="170"/>
  <c r="Q362" i="170" s="1"/>
  <c r="T228" i="170"/>
  <c r="Q228" i="170" s="1"/>
  <c r="T102" i="170"/>
  <c r="Q102" i="170" s="1"/>
  <c r="U274" i="170"/>
  <c r="R274" i="170" s="1"/>
  <c r="T350" i="170"/>
  <c r="S350" i="170" s="1"/>
  <c r="AO101" i="1" s="1"/>
  <c r="T316" i="170"/>
  <c r="S316" i="170" s="1"/>
  <c r="AO255" i="1" s="1"/>
  <c r="T340" i="170"/>
  <c r="S340" i="170" s="1"/>
  <c r="AO92" i="1" s="1"/>
  <c r="X316" i="170"/>
  <c r="P274" i="170"/>
  <c r="AN332" i="1" s="1"/>
  <c r="P135" i="170"/>
  <c r="AN279" i="1" s="1"/>
  <c r="P24" i="170"/>
  <c r="AN286" i="1" s="1"/>
  <c r="P316" i="170"/>
  <c r="AN255" i="1" s="1"/>
  <c r="Q384" i="170"/>
  <c r="AK3" i="1"/>
  <c r="T212" i="170"/>
  <c r="P212" i="170"/>
  <c r="AN282" i="1" s="1"/>
  <c r="P358" i="170"/>
  <c r="AN104" i="1" s="1"/>
  <c r="P119" i="170"/>
  <c r="AN167" i="1" s="1"/>
  <c r="Q60" i="170"/>
  <c r="U281" i="170"/>
  <c r="R281" i="170" s="1"/>
  <c r="X66" i="170"/>
  <c r="U135" i="170"/>
  <c r="R135" i="170" s="1"/>
  <c r="S66" i="170"/>
  <c r="AO116" i="1" s="1"/>
  <c r="AP116" i="1" s="1"/>
  <c r="AQ116" i="1" s="1"/>
  <c r="AR116" i="1" s="1"/>
  <c r="AS116" i="1" s="1"/>
  <c r="S239" i="170"/>
  <c r="AO51" i="1" s="1"/>
  <c r="AP51" i="1" s="1"/>
  <c r="AQ51" i="1" s="1"/>
  <c r="AR51" i="1" s="1"/>
  <c r="AS51" i="1" s="1"/>
  <c r="Q235" i="170"/>
  <c r="S380" i="170"/>
  <c r="AO126" i="1" s="1"/>
  <c r="U140" i="170"/>
  <c r="R140" i="170" s="1"/>
  <c r="S35" i="170"/>
  <c r="AO212" i="1" s="1"/>
  <c r="AP212" i="1" s="1"/>
  <c r="AQ212" i="1" s="1"/>
  <c r="AR212" i="1" s="1"/>
  <c r="AS212" i="1" s="1"/>
  <c r="P216" i="170"/>
  <c r="AN140" i="1" s="1"/>
  <c r="S238" i="170"/>
  <c r="AO270" i="1" s="1"/>
  <c r="AP270" i="1" s="1"/>
  <c r="AQ270" i="1" s="1"/>
  <c r="AR270" i="1" s="1"/>
  <c r="AS270" i="1" s="1"/>
  <c r="Q238" i="170"/>
  <c r="X254" i="170"/>
  <c r="T120" i="170"/>
  <c r="T363" i="170"/>
  <c r="Q363" i="170" s="1"/>
  <c r="P265" i="170"/>
  <c r="AN329" i="1" s="1"/>
  <c r="U228" i="170"/>
  <c r="R228" i="170" s="1"/>
  <c r="T357" i="170"/>
  <c r="S357" i="170" s="1"/>
  <c r="AO221" i="1" s="1"/>
  <c r="P213" i="170"/>
  <c r="AN335" i="1" s="1"/>
  <c r="P217" i="170"/>
  <c r="AN138" i="1" s="1"/>
  <c r="T254" i="170"/>
  <c r="Q254" i="170" s="1"/>
  <c r="X325" i="170"/>
  <c r="X171" i="170"/>
  <c r="P101" i="170"/>
  <c r="AN176" i="1" s="1"/>
  <c r="U265" i="170"/>
  <c r="R265" i="170" s="1"/>
  <c r="T325" i="170"/>
  <c r="Q325" i="170" s="1"/>
  <c r="P99" i="170"/>
  <c r="AN172" i="1" s="1"/>
  <c r="P360" i="170"/>
  <c r="AN208" i="1" s="1"/>
  <c r="S42" i="170"/>
  <c r="AO211" i="1" s="1"/>
  <c r="AP211" i="1" s="1"/>
  <c r="AQ211" i="1" s="1"/>
  <c r="AR211" i="1" s="1"/>
  <c r="AS211" i="1" s="1"/>
  <c r="X91" i="170"/>
  <c r="U120" i="170"/>
  <c r="R120" i="170" s="1"/>
  <c r="T211" i="170"/>
  <c r="P325" i="170"/>
  <c r="AN259" i="1" s="1"/>
  <c r="T349" i="170"/>
  <c r="S349" i="170" s="1"/>
  <c r="AO132" i="1" s="1"/>
  <c r="T285" i="170"/>
  <c r="S285" i="170" s="1"/>
  <c r="AO310" i="1" s="1"/>
  <c r="U129" i="170"/>
  <c r="R129" i="170" s="1"/>
  <c r="U257" i="170"/>
  <c r="R257" i="170" s="1"/>
  <c r="X42" i="170"/>
  <c r="X35" i="170"/>
  <c r="U95" i="170"/>
  <c r="R95" i="170" s="1"/>
  <c r="X357" i="170"/>
  <c r="U360" i="170"/>
  <c r="R360" i="170" s="1"/>
  <c r="X350" i="170"/>
  <c r="X285" i="170"/>
  <c r="X276" i="170"/>
  <c r="U211" i="170"/>
  <c r="R211" i="170" s="1"/>
  <c r="P254" i="170"/>
  <c r="AN300" i="1" s="1"/>
  <c r="P352" i="170"/>
  <c r="AN73" i="1" s="1"/>
  <c r="P98" i="170"/>
  <c r="AN238" i="1" s="1"/>
  <c r="U197" i="170"/>
  <c r="R197" i="170" s="1"/>
  <c r="U98" i="170"/>
  <c r="R98" i="170" s="1"/>
  <c r="P349" i="170"/>
  <c r="AN132" i="1" s="1"/>
  <c r="P357" i="170"/>
  <c r="AN221" i="1" s="1"/>
  <c r="P95" i="170"/>
  <c r="AN309" i="1" s="1"/>
  <c r="X349" i="170"/>
  <c r="T178" i="170"/>
  <c r="Q178" i="170" s="1"/>
  <c r="P276" i="170"/>
  <c r="AN359" i="1" s="1"/>
  <c r="P176" i="170"/>
  <c r="AN113" i="1" s="1"/>
  <c r="P219" i="170"/>
  <c r="AN141" i="1" s="1"/>
  <c r="P350" i="170"/>
  <c r="AN101" i="1" s="1"/>
  <c r="P129" i="170"/>
  <c r="AN302" i="1" s="1"/>
  <c r="U99" i="170"/>
  <c r="R99" i="170" s="1"/>
  <c r="P222" i="170"/>
  <c r="AN201" i="1" s="1"/>
  <c r="S91" i="170"/>
  <c r="AO297" i="1" s="1"/>
  <c r="AP297" i="1" s="1"/>
  <c r="AQ297" i="1" s="1"/>
  <c r="AR297" i="1" s="1"/>
  <c r="AS297" i="1" s="1"/>
  <c r="T269" i="170"/>
  <c r="Q269" i="170" s="1"/>
  <c r="U322" i="170"/>
  <c r="R322" i="170" s="1"/>
  <c r="P96" i="170"/>
  <c r="AN165" i="1" s="1"/>
  <c r="P126" i="170"/>
  <c r="AN242" i="1" s="1"/>
  <c r="U126" i="170"/>
  <c r="R126" i="170" s="1"/>
  <c r="P320" i="170"/>
  <c r="AN370" i="1" s="1"/>
  <c r="X116" i="170"/>
  <c r="U320" i="170"/>
  <c r="R320" i="170" s="1"/>
  <c r="P78" i="170"/>
  <c r="AN336" i="1" s="1"/>
  <c r="U119" i="170"/>
  <c r="R119" i="170" s="1"/>
  <c r="U78" i="170"/>
  <c r="R78" i="170" s="1"/>
  <c r="P94" i="170"/>
  <c r="AN173" i="1" s="1"/>
  <c r="P281" i="170"/>
  <c r="AN383" i="1" s="1"/>
  <c r="U94" i="170"/>
  <c r="R94" i="170" s="1"/>
  <c r="U24" i="170"/>
  <c r="R24" i="170" s="1"/>
  <c r="P166" i="170"/>
  <c r="AN158" i="1" s="1"/>
  <c r="U166" i="170"/>
  <c r="R166" i="170" s="1"/>
  <c r="T140" i="170"/>
  <c r="Q140" i="170" s="1"/>
  <c r="P143" i="170"/>
  <c r="AN83" i="1" s="1"/>
  <c r="U318" i="170"/>
  <c r="R318" i="170" s="1"/>
  <c r="P171" i="170"/>
  <c r="AN146" i="1" s="1"/>
  <c r="U213" i="170"/>
  <c r="R213" i="170" s="1"/>
  <c r="P138" i="170"/>
  <c r="AN13" i="1" s="1"/>
  <c r="P278" i="170"/>
  <c r="AN344" i="1" s="1"/>
  <c r="X238" i="170"/>
  <c r="P223" i="170"/>
  <c r="AN265" i="1" s="1"/>
  <c r="U266" i="170"/>
  <c r="R266" i="170" s="1"/>
  <c r="X356" i="170"/>
  <c r="P125" i="170"/>
  <c r="AN145" i="1" s="1"/>
  <c r="X340" i="170"/>
  <c r="P340" i="170"/>
  <c r="AN92" i="1" s="1"/>
  <c r="P355" i="170"/>
  <c r="AN207" i="1" s="1"/>
  <c r="X19" i="170"/>
  <c r="T293" i="170"/>
  <c r="Q293" i="170" s="1"/>
  <c r="X261" i="170"/>
  <c r="P19" i="170"/>
  <c r="AN346" i="1" s="1"/>
  <c r="P268" i="170"/>
  <c r="AN337" i="1" s="1"/>
  <c r="P76" i="170"/>
  <c r="AN281" i="1" s="1"/>
  <c r="U268" i="170"/>
  <c r="R268" i="170" s="1"/>
  <c r="T187" i="170"/>
  <c r="Q187" i="170" s="1"/>
  <c r="P220" i="170"/>
  <c r="AN366" i="1" s="1"/>
  <c r="U125" i="170"/>
  <c r="R125" i="170" s="1"/>
  <c r="U355" i="170"/>
  <c r="R355" i="170" s="1"/>
  <c r="P187" i="170"/>
  <c r="AN252" i="1" s="1"/>
  <c r="X187" i="170"/>
  <c r="X278" i="170"/>
  <c r="P273" i="170"/>
  <c r="AN377" i="1" s="1"/>
  <c r="P115" i="170"/>
  <c r="AN196" i="1" s="1"/>
  <c r="X220" i="170"/>
  <c r="T19" i="170"/>
  <c r="Q19" i="170" s="1"/>
  <c r="U76" i="170"/>
  <c r="R76" i="170" s="1"/>
  <c r="W138" i="170"/>
  <c r="X138" i="170" s="1"/>
  <c r="T356" i="170"/>
  <c r="S356" i="170" s="1"/>
  <c r="AO96" i="1" s="1"/>
  <c r="X223" i="170"/>
  <c r="T278" i="170"/>
  <c r="S278" i="170" s="1"/>
  <c r="AO344" i="1" s="1"/>
  <c r="T223" i="170"/>
  <c r="Q223" i="170" s="1"/>
  <c r="U273" i="170"/>
  <c r="R273" i="170" s="1"/>
  <c r="P344" i="170"/>
  <c r="AN224" i="1" s="1"/>
  <c r="P356" i="170"/>
  <c r="AN96" i="1" s="1"/>
  <c r="U344" i="170"/>
  <c r="R344" i="170" s="1"/>
  <c r="U115" i="170"/>
  <c r="R115" i="170" s="1"/>
  <c r="T258" i="170"/>
  <c r="Q258" i="170" s="1"/>
  <c r="U102" i="170"/>
  <c r="R102" i="170" s="1"/>
  <c r="P341" i="170"/>
  <c r="AN317" i="1" s="1"/>
  <c r="U293" i="170"/>
  <c r="R293" i="170" s="1"/>
  <c r="U106" i="170"/>
  <c r="R106" i="170" s="1"/>
  <c r="P190" i="170"/>
  <c r="AN205" i="1" s="1"/>
  <c r="U190" i="170"/>
  <c r="R190" i="170" s="1"/>
  <c r="P170" i="170"/>
  <c r="AN376" i="1" s="1"/>
  <c r="P97" i="170"/>
  <c r="AN166" i="1" s="1"/>
  <c r="U258" i="170"/>
  <c r="R258" i="170" s="1"/>
  <c r="U97" i="170"/>
  <c r="R97" i="170" s="1"/>
  <c r="P301" i="170"/>
  <c r="AN334" i="1" s="1"/>
  <c r="P17" i="170"/>
  <c r="AN345" i="1" s="1"/>
  <c r="U301" i="170"/>
  <c r="R301" i="170" s="1"/>
  <c r="U341" i="170"/>
  <c r="R341" i="170" s="1"/>
  <c r="U17" i="170"/>
  <c r="R17" i="170" s="1"/>
  <c r="P334" i="170"/>
  <c r="AN93" i="1" s="1"/>
  <c r="T116" i="170"/>
  <c r="S116" i="170" s="1"/>
  <c r="AO308" i="1" s="1"/>
  <c r="U188" i="170"/>
  <c r="R188" i="170" s="1"/>
  <c r="P137" i="170"/>
  <c r="AN348" i="1" s="1"/>
  <c r="X262" i="170"/>
  <c r="U23" i="170"/>
  <c r="R23" i="170" s="1"/>
  <c r="U111" i="170"/>
  <c r="R111" i="170" s="1"/>
  <c r="U221" i="170"/>
  <c r="R221" i="170" s="1"/>
  <c r="T292" i="170"/>
  <c r="Q292" i="170" s="1"/>
  <c r="S27" i="170"/>
  <c r="AO330" i="1" s="1"/>
  <c r="AP330" i="1" s="1"/>
  <c r="AQ330" i="1" s="1"/>
  <c r="AR330" i="1" s="1"/>
  <c r="AS330" i="1" s="1"/>
  <c r="P111" i="170"/>
  <c r="AN234" i="1" s="1"/>
  <c r="P221" i="170"/>
  <c r="AN136" i="1" s="1"/>
  <c r="P339" i="170"/>
  <c r="AN218" i="1" s="1"/>
  <c r="U80" i="170"/>
  <c r="R80" i="170" s="1"/>
  <c r="X137" i="170"/>
  <c r="P262" i="170"/>
  <c r="AN295" i="1" s="1"/>
  <c r="P322" i="170"/>
  <c r="AN29" i="1" s="1"/>
  <c r="P23" i="170"/>
  <c r="AN50" i="1" s="1"/>
  <c r="T169" i="170"/>
  <c r="S169" i="170" s="1"/>
  <c r="AO160" i="1" s="1"/>
  <c r="P169" i="170"/>
  <c r="AN160" i="1" s="1"/>
  <c r="P80" i="170"/>
  <c r="AN339" i="1" s="1"/>
  <c r="Q202" i="170"/>
  <c r="X169" i="170"/>
  <c r="P188" i="170"/>
  <c r="AN203" i="1" s="1"/>
  <c r="U299" i="170"/>
  <c r="R299" i="170" s="1"/>
  <c r="P299" i="170"/>
  <c r="AN57" i="1" s="1"/>
  <c r="P116" i="170"/>
  <c r="AN308" i="1" s="1"/>
  <c r="U294" i="170"/>
  <c r="R294" i="170" s="1"/>
  <c r="U96" i="170"/>
  <c r="R96" i="170" s="1"/>
  <c r="P14" i="170"/>
  <c r="AN215" i="1" s="1"/>
  <c r="P134" i="170"/>
  <c r="AN163" i="1" s="1"/>
  <c r="U14" i="170"/>
  <c r="R14" i="170" s="1"/>
  <c r="U79" i="170"/>
  <c r="R79" i="170" s="1"/>
  <c r="X324" i="170"/>
  <c r="U358" i="170"/>
  <c r="R358" i="170" s="1"/>
  <c r="U339" i="170"/>
  <c r="R339" i="170" s="1"/>
  <c r="U326" i="170"/>
  <c r="R326" i="170" s="1"/>
  <c r="U75" i="170"/>
  <c r="R75" i="170" s="1"/>
  <c r="U195" i="170"/>
  <c r="R195" i="170" s="1"/>
  <c r="P100" i="170"/>
  <c r="AN290" i="1" s="1"/>
  <c r="P324" i="170"/>
  <c r="AN164" i="1" s="1"/>
  <c r="P263" i="170"/>
  <c r="AN320" i="1" s="1"/>
  <c r="T75" i="170"/>
  <c r="Q75" i="170" s="1"/>
  <c r="T324" i="170"/>
  <c r="S324" i="170" s="1"/>
  <c r="AO164" i="1" s="1"/>
  <c r="U296" i="170"/>
  <c r="R296" i="170" s="1"/>
  <c r="P108" i="170"/>
  <c r="AN307" i="1" s="1"/>
  <c r="P79" i="170"/>
  <c r="AN243" i="1" s="1"/>
  <c r="T230" i="170"/>
  <c r="Q230" i="170" s="1"/>
  <c r="P326" i="170"/>
  <c r="AN362" i="1" s="1"/>
  <c r="U263" i="170"/>
  <c r="R263" i="170" s="1"/>
  <c r="P195" i="170"/>
  <c r="AN87" i="1" s="1"/>
  <c r="T262" i="170"/>
  <c r="Q262" i="170" s="1"/>
  <c r="X163" i="170"/>
  <c r="U319" i="170"/>
  <c r="R319" i="170" s="1"/>
  <c r="X21" i="170"/>
  <c r="P319" i="170"/>
  <c r="AN374" i="1" s="1"/>
  <c r="P354" i="170"/>
  <c r="AN247" i="1" s="1"/>
  <c r="P364" i="170"/>
  <c r="AN33" i="1" s="1"/>
  <c r="U363" i="170"/>
  <c r="R363" i="170" s="1"/>
  <c r="T171" i="170"/>
  <c r="S171" i="170" s="1"/>
  <c r="AO146" i="1" s="1"/>
  <c r="P141" i="170"/>
  <c r="AN360" i="1" s="1"/>
  <c r="X127" i="170"/>
  <c r="X129" i="170"/>
  <c r="P256" i="170"/>
  <c r="AN193" i="1" s="1"/>
  <c r="U121" i="170"/>
  <c r="R121" i="170" s="1"/>
  <c r="U217" i="170"/>
  <c r="R217" i="170" s="1"/>
  <c r="U141" i="170"/>
  <c r="R141" i="170" s="1"/>
  <c r="P318" i="170"/>
  <c r="AN256" i="1" s="1"/>
  <c r="U342" i="170"/>
  <c r="R342" i="170" s="1"/>
  <c r="X253" i="170"/>
  <c r="U178" i="170"/>
  <c r="R178" i="170" s="1"/>
  <c r="P227" i="170"/>
  <c r="AN139" i="1" s="1"/>
  <c r="S44" i="170"/>
  <c r="AO88" i="1" s="1"/>
  <c r="AP88" i="1" s="1"/>
  <c r="AQ88" i="1" s="1"/>
  <c r="AR88" i="1" s="1"/>
  <c r="AS88" i="1" s="1"/>
  <c r="T253" i="170"/>
  <c r="S253" i="170" s="1"/>
  <c r="AO387" i="1" s="1"/>
  <c r="X188" i="170"/>
  <c r="U286" i="170"/>
  <c r="R286" i="170" s="1"/>
  <c r="P286" i="170"/>
  <c r="AN333" i="1" s="1"/>
  <c r="P346" i="170"/>
  <c r="AN71" i="1" s="1"/>
  <c r="S151" i="170"/>
  <c r="AO213" i="1" s="1"/>
  <c r="AP213" i="1" s="1"/>
  <c r="AQ213" i="1" s="1"/>
  <c r="AR213" i="1" s="1"/>
  <c r="AS213" i="1" s="1"/>
  <c r="Q222" i="170"/>
  <c r="S163" i="170"/>
  <c r="AO206" i="1" s="1"/>
  <c r="AP206" i="1" s="1"/>
  <c r="AQ206" i="1" s="1"/>
  <c r="AR206" i="1" s="1"/>
  <c r="AS206" i="1" s="1"/>
  <c r="X107" i="170"/>
  <c r="P288" i="170"/>
  <c r="AN128" i="1" s="1"/>
  <c r="P297" i="170"/>
  <c r="AN19" i="1" s="1"/>
  <c r="U297" i="170"/>
  <c r="R297" i="170" s="1"/>
  <c r="U338" i="170"/>
  <c r="R338" i="170" s="1"/>
  <c r="U183" i="170"/>
  <c r="R183" i="170" s="1"/>
  <c r="P338" i="170"/>
  <c r="AN77" i="1" s="1"/>
  <c r="U307" i="170"/>
  <c r="R307" i="170" s="1"/>
  <c r="P307" i="170"/>
  <c r="AN245" i="1" s="1"/>
  <c r="U309" i="170"/>
  <c r="R309" i="170" s="1"/>
  <c r="P18" i="170"/>
  <c r="AN49" i="1" s="1"/>
  <c r="R288" i="170"/>
  <c r="T314" i="170"/>
  <c r="Q314" i="170" s="1"/>
  <c r="T117" i="170"/>
  <c r="Q117" i="170" s="1"/>
  <c r="U275" i="170"/>
  <c r="R275" i="170" s="1"/>
  <c r="U117" i="170"/>
  <c r="R117" i="170" s="1"/>
  <c r="U101" i="170"/>
  <c r="R101" i="170" s="1"/>
  <c r="P323" i="170"/>
  <c r="AN22" i="1" s="1"/>
  <c r="U136" i="170"/>
  <c r="R136" i="170" s="1"/>
  <c r="P183" i="170"/>
  <c r="AN180" i="1" s="1"/>
  <c r="U362" i="170"/>
  <c r="R362" i="170" s="1"/>
  <c r="U256" i="170"/>
  <c r="R256" i="170" s="1"/>
  <c r="U15" i="170"/>
  <c r="R15" i="170" s="1"/>
  <c r="U267" i="170"/>
  <c r="R267" i="170" s="1"/>
  <c r="P275" i="170"/>
  <c r="AN134" i="1" s="1"/>
  <c r="P123" i="170"/>
  <c r="AN240" i="1" s="1"/>
  <c r="U279" i="170"/>
  <c r="R279" i="170" s="1"/>
  <c r="U123" i="170"/>
  <c r="R123" i="170" s="1"/>
  <c r="P253" i="170"/>
  <c r="AN387" i="1" s="1"/>
  <c r="U179" i="170"/>
  <c r="R179" i="170" s="1"/>
  <c r="U347" i="170"/>
  <c r="R347" i="170" s="1"/>
  <c r="T288" i="170"/>
  <c r="U312" i="170"/>
  <c r="S312" i="170" s="1"/>
  <c r="AO287" i="1" s="1"/>
  <c r="U9" i="170"/>
  <c r="R9" i="170" s="1"/>
  <c r="P15" i="170"/>
  <c r="AN260" i="1" s="1"/>
  <c r="U361" i="170"/>
  <c r="R361" i="170" s="1"/>
  <c r="T138" i="170"/>
  <c r="P118" i="170"/>
  <c r="AN304" i="1" s="1"/>
  <c r="U143" i="170"/>
  <c r="R143" i="170" s="1"/>
  <c r="U224" i="170"/>
  <c r="R224" i="170" s="1"/>
  <c r="U271" i="170"/>
  <c r="R271" i="170" s="1"/>
  <c r="P312" i="170"/>
  <c r="AN287" i="1" s="1"/>
  <c r="P291" i="170"/>
  <c r="AN283" i="1" s="1"/>
  <c r="P180" i="170"/>
  <c r="AN156" i="1" s="1"/>
  <c r="P103" i="170"/>
  <c r="AN144" i="1" s="1"/>
  <c r="X344" i="170"/>
  <c r="X73" i="170"/>
  <c r="T181" i="170"/>
  <c r="Q181" i="170" s="1"/>
  <c r="P9" i="170"/>
  <c r="AN216" i="1" s="1"/>
  <c r="T306" i="170"/>
  <c r="Q306" i="170" s="1"/>
  <c r="U180" i="170"/>
  <c r="R180" i="170" s="1"/>
  <c r="T364" i="170"/>
  <c r="S364" i="170" s="1"/>
  <c r="AO33" i="1" s="1"/>
  <c r="U177" i="170"/>
  <c r="R177" i="170" s="1"/>
  <c r="X364" i="170"/>
  <c r="X134" i="170"/>
  <c r="P177" i="170"/>
  <c r="AN204" i="1" s="1"/>
  <c r="P259" i="170"/>
  <c r="AN56" i="1" s="1"/>
  <c r="P361" i="170"/>
  <c r="AN257" i="1" s="1"/>
  <c r="P210" i="170"/>
  <c r="AN262" i="1" s="1"/>
  <c r="T276" i="170"/>
  <c r="S276" i="170" s="1"/>
  <c r="AO359" i="1" s="1"/>
  <c r="U259" i="170"/>
  <c r="R259" i="170" s="1"/>
  <c r="U118" i="170"/>
  <c r="R118" i="170" s="1"/>
  <c r="U210" i="170"/>
  <c r="R210" i="170" s="1"/>
  <c r="T309" i="170"/>
  <c r="Q309" i="170" s="1"/>
  <c r="P261" i="170"/>
  <c r="AN296" i="1" s="1"/>
  <c r="U269" i="170"/>
  <c r="R269" i="170" s="1"/>
  <c r="P224" i="170"/>
  <c r="AN190" i="1" s="1"/>
  <c r="P342" i="170"/>
  <c r="AN115" i="1" s="1"/>
  <c r="U103" i="170"/>
  <c r="R103" i="170" s="1"/>
  <c r="P347" i="170"/>
  <c r="AN326" i="1" s="1"/>
  <c r="X44" i="170"/>
  <c r="Q41" i="170"/>
  <c r="U291" i="170"/>
  <c r="R291" i="170" s="1"/>
  <c r="S382" i="170"/>
  <c r="AO62" i="1" s="1"/>
  <c r="AP62" i="1" s="1"/>
  <c r="AQ62" i="1" s="1"/>
  <c r="AR62" i="1" s="1"/>
  <c r="AS62" i="1" s="1"/>
  <c r="Q382" i="170"/>
  <c r="X151" i="170"/>
  <c r="R27" i="170"/>
  <c r="X27" i="170"/>
  <c r="P142" i="170"/>
  <c r="AN168" i="1" s="1"/>
  <c r="X191" i="170"/>
  <c r="X255" i="170"/>
  <c r="S73" i="170"/>
  <c r="AO38" i="1" s="1"/>
  <c r="AP38" i="1" s="1"/>
  <c r="AQ38" i="1" s="1"/>
  <c r="AR38" i="1" s="1"/>
  <c r="AS38" i="1" s="1"/>
  <c r="T191" i="170"/>
  <c r="Q191" i="170" s="1"/>
  <c r="U186" i="170"/>
  <c r="U260" i="170"/>
  <c r="R260" i="170" s="1"/>
  <c r="P260" i="170"/>
  <c r="AN382" i="1" s="1"/>
  <c r="X214" i="170"/>
  <c r="U144" i="170"/>
  <c r="R144" i="170" s="1"/>
  <c r="U128" i="170"/>
  <c r="R128" i="170" s="1"/>
  <c r="T214" i="170"/>
  <c r="S214" i="170" s="1"/>
  <c r="AO340" i="1" s="1"/>
  <c r="P298" i="170"/>
  <c r="AN44" i="1" s="1"/>
  <c r="P271" i="170"/>
  <c r="AN341" i="1" s="1"/>
  <c r="T345" i="170"/>
  <c r="S345" i="170" s="1"/>
  <c r="AO220" i="1" s="1"/>
  <c r="X280" i="170"/>
  <c r="T144" i="170"/>
  <c r="Q144" i="170" s="1"/>
  <c r="T185" i="170"/>
  <c r="P308" i="170"/>
  <c r="AN76" i="1" s="1"/>
  <c r="X308" i="170"/>
  <c r="T186" i="170"/>
  <c r="T311" i="170"/>
  <c r="S311" i="170" s="1"/>
  <c r="AO276" i="1" s="1"/>
  <c r="P191" i="170"/>
  <c r="AN371" i="1" s="1"/>
  <c r="P311" i="170"/>
  <c r="AN276" i="1" s="1"/>
  <c r="P336" i="170"/>
  <c r="AN110" i="1" s="1"/>
  <c r="T280" i="170"/>
  <c r="Q280" i="170" s="1"/>
  <c r="U336" i="170"/>
  <c r="Q336" i="170"/>
  <c r="P218" i="170"/>
  <c r="AN199" i="1" s="1"/>
  <c r="P185" i="170"/>
  <c r="AN313" i="1" s="1"/>
  <c r="P348" i="170"/>
  <c r="AN78" i="1" s="1"/>
  <c r="T308" i="170"/>
  <c r="Q308" i="170" s="1"/>
  <c r="T192" i="170"/>
  <c r="S192" i="170" s="1"/>
  <c r="AO378" i="1" s="1"/>
  <c r="X185" i="170"/>
  <c r="X311" i="170"/>
  <c r="U298" i="170"/>
  <c r="R298" i="170" s="1"/>
  <c r="T348" i="170"/>
  <c r="Q348" i="170" s="1"/>
  <c r="U218" i="170"/>
  <c r="R218" i="170" s="1"/>
  <c r="P345" i="170"/>
  <c r="AN220" i="1" s="1"/>
  <c r="X345" i="170"/>
  <c r="X348" i="170"/>
  <c r="P128" i="170"/>
  <c r="AN198" i="1" s="1"/>
  <c r="S134" i="170"/>
  <c r="AO163" i="1" s="1"/>
  <c r="S64" i="170"/>
  <c r="AO223" i="1" s="1"/>
  <c r="AP223" i="1" s="1"/>
  <c r="AQ223" i="1" s="1"/>
  <c r="AR223" i="1" s="1"/>
  <c r="AS223" i="1" s="1"/>
  <c r="Q64" i="170"/>
  <c r="P280" i="170"/>
  <c r="AN372" i="1" s="1"/>
  <c r="P214" i="170"/>
  <c r="AN340" i="1" s="1"/>
  <c r="R11" i="170"/>
  <c r="X11" i="170"/>
  <c r="T261" i="170"/>
  <c r="P279" i="170"/>
  <c r="AN174" i="1" s="1"/>
  <c r="Q243" i="170"/>
  <c r="R43" i="170"/>
  <c r="X43" i="170"/>
  <c r="T284" i="170"/>
  <c r="S284" i="170" s="1"/>
  <c r="AO150" i="1" s="1"/>
  <c r="S43" i="170"/>
  <c r="AO99" i="1" s="1"/>
  <c r="AP99" i="1" s="1"/>
  <c r="AQ99" i="1" s="1"/>
  <c r="AR99" i="1" s="1"/>
  <c r="AS99" i="1" s="1"/>
  <c r="U189" i="170"/>
  <c r="R189" i="170" s="1"/>
  <c r="S67" i="170"/>
  <c r="AO34" i="1" s="1"/>
  <c r="AP34" i="1" s="1"/>
  <c r="AQ34" i="1" s="1"/>
  <c r="AR34" i="1" s="1"/>
  <c r="AS34" i="1" s="1"/>
  <c r="Q67" i="170"/>
  <c r="U354" i="170"/>
  <c r="T107" i="170"/>
  <c r="S107" i="170" s="1"/>
  <c r="AO305" i="1" s="1"/>
  <c r="S240" i="170"/>
  <c r="AO143" i="1" s="1"/>
  <c r="AP143" i="1" s="1"/>
  <c r="AQ143" i="1" s="1"/>
  <c r="AR143" i="1" s="1"/>
  <c r="AS143" i="1" s="1"/>
  <c r="Q240" i="170"/>
  <c r="P284" i="170"/>
  <c r="AN150" i="1" s="1"/>
  <c r="R161" i="170"/>
  <c r="X161" i="170"/>
  <c r="S327" i="170"/>
  <c r="AO24" i="1" s="1"/>
  <c r="AP24" i="1" s="1"/>
  <c r="AQ24" i="1" s="1"/>
  <c r="AR24" i="1" s="1"/>
  <c r="AS24" i="1" s="1"/>
  <c r="Q327" i="170"/>
  <c r="S45" i="170"/>
  <c r="AO246" i="1" s="1"/>
  <c r="AP246" i="1" s="1"/>
  <c r="AQ246" i="1" s="1"/>
  <c r="AR246" i="1" s="1"/>
  <c r="AS246" i="1" s="1"/>
  <c r="Q45" i="170"/>
  <c r="S161" i="170"/>
  <c r="AO277" i="1" s="1"/>
  <c r="AP277" i="1" s="1"/>
  <c r="AQ277" i="1" s="1"/>
  <c r="AR277" i="1" s="1"/>
  <c r="AS277" i="1" s="1"/>
  <c r="R50" i="170"/>
  <c r="X50" i="170"/>
  <c r="P353" i="170"/>
  <c r="AN72" i="1" s="1"/>
  <c r="U353" i="170"/>
  <c r="T353" i="170"/>
  <c r="U252" i="170"/>
  <c r="P252" i="170"/>
  <c r="AN328" i="1" s="1"/>
  <c r="U77" i="170"/>
  <c r="P77" i="170"/>
  <c r="AN342" i="1" s="1"/>
  <c r="T167" i="170"/>
  <c r="Q167" i="170" s="1"/>
  <c r="P167" i="170"/>
  <c r="AN82" i="1" s="1"/>
  <c r="R150" i="170"/>
  <c r="X150" i="170"/>
  <c r="R40" i="170"/>
  <c r="X40" i="170"/>
  <c r="R131" i="170"/>
  <c r="X131" i="170"/>
  <c r="R59" i="170"/>
  <c r="X59" i="170"/>
  <c r="R165" i="170"/>
  <c r="X165" i="170"/>
  <c r="R395" i="170"/>
  <c r="X395" i="170"/>
  <c r="R207" i="170"/>
  <c r="X207" i="170"/>
  <c r="S65" i="170"/>
  <c r="AO354" i="1" s="1"/>
  <c r="AP354" i="1" s="1"/>
  <c r="AQ354" i="1" s="1"/>
  <c r="AR354" i="1" s="1"/>
  <c r="AS354" i="1" s="1"/>
  <c r="Q65" i="170"/>
  <c r="R39" i="170"/>
  <c r="X39" i="170"/>
  <c r="R36" i="170"/>
  <c r="X36" i="170"/>
  <c r="P231" i="170"/>
  <c r="AN369" i="1" s="1"/>
  <c r="U231" i="170"/>
  <c r="T231" i="170"/>
  <c r="T122" i="170"/>
  <c r="U122" i="170"/>
  <c r="P122" i="170"/>
  <c r="AN235" i="1" s="1"/>
  <c r="R208" i="170"/>
  <c r="X208" i="170"/>
  <c r="Q147" i="170"/>
  <c r="S147" i="170"/>
  <c r="AO214" i="1" s="1"/>
  <c r="AP214" i="1" s="1"/>
  <c r="AQ214" i="1" s="1"/>
  <c r="AR214" i="1" s="1"/>
  <c r="AS214" i="1" s="1"/>
  <c r="U110" i="170"/>
  <c r="T110" i="170"/>
  <c r="P110" i="170"/>
  <c r="AN230" i="1" s="1"/>
  <c r="T343" i="170"/>
  <c r="P343" i="170"/>
  <c r="AN94" i="1" s="1"/>
  <c r="R209" i="170"/>
  <c r="X209" i="170"/>
  <c r="S164" i="170"/>
  <c r="AO263" i="1" s="1"/>
  <c r="AP263" i="1" s="1"/>
  <c r="AQ263" i="1" s="1"/>
  <c r="AR263" i="1" s="1"/>
  <c r="AS263" i="1" s="1"/>
  <c r="Q164" i="170"/>
  <c r="S92" i="170"/>
  <c r="AO131" i="1" s="1"/>
  <c r="AP131" i="1" s="1"/>
  <c r="AQ131" i="1" s="1"/>
  <c r="AR131" i="1" s="1"/>
  <c r="AS131" i="1" s="1"/>
  <c r="Q92" i="170"/>
  <c r="X5" i="170"/>
  <c r="S5" i="170"/>
  <c r="AO261" i="1" s="1"/>
  <c r="Q5" i="170"/>
  <c r="Q50" i="170"/>
  <c r="S50" i="170"/>
  <c r="AO91" i="1" s="1"/>
  <c r="AP91" i="1" s="1"/>
  <c r="AQ91" i="1" s="1"/>
  <c r="AR91" i="1" s="1"/>
  <c r="AS91" i="1" s="1"/>
  <c r="R154" i="170"/>
  <c r="X154" i="170"/>
  <c r="R68" i="170"/>
  <c r="X68" i="170"/>
  <c r="Q38" i="170"/>
  <c r="S38" i="170"/>
  <c r="AO108" i="1" s="1"/>
  <c r="AP108" i="1" s="1"/>
  <c r="AQ108" i="1" s="1"/>
  <c r="AR108" i="1" s="1"/>
  <c r="AS108" i="1" s="1"/>
  <c r="R148" i="170"/>
  <c r="X148" i="170"/>
  <c r="Q52" i="170"/>
  <c r="S52" i="170"/>
  <c r="AO106" i="1" s="1"/>
  <c r="AP106" i="1" s="1"/>
  <c r="AQ106" i="1" s="1"/>
  <c r="AR106" i="1" s="1"/>
  <c r="AS106" i="1" s="1"/>
  <c r="R389" i="170"/>
  <c r="X389" i="170"/>
  <c r="R65" i="170"/>
  <c r="X65" i="170"/>
  <c r="S39" i="170"/>
  <c r="AO40" i="1" s="1"/>
  <c r="AP40" i="1" s="1"/>
  <c r="AQ40" i="1" s="1"/>
  <c r="AR40" i="1" s="1"/>
  <c r="AS40" i="1" s="1"/>
  <c r="Q39" i="170"/>
  <c r="Q241" i="170"/>
  <c r="S241" i="170"/>
  <c r="AO135" i="1" s="1"/>
  <c r="AP135" i="1" s="1"/>
  <c r="AQ135" i="1" s="1"/>
  <c r="AR135" i="1" s="1"/>
  <c r="AS135" i="1" s="1"/>
  <c r="Q63" i="170"/>
  <c r="S63" i="170"/>
  <c r="AO42" i="1" s="1"/>
  <c r="AP42" i="1" s="1"/>
  <c r="AQ42" i="1" s="1"/>
  <c r="AR42" i="1" s="1"/>
  <c r="AS42" i="1" s="1"/>
  <c r="S160" i="170"/>
  <c r="AO170" i="1" s="1"/>
  <c r="AP170" i="1" s="1"/>
  <c r="AQ170" i="1" s="1"/>
  <c r="AR170" i="1" s="1"/>
  <c r="AS170" i="1" s="1"/>
  <c r="Q160" i="170"/>
  <c r="S383" i="170"/>
  <c r="AO53" i="1" s="1"/>
  <c r="AP53" i="1" s="1"/>
  <c r="AQ53" i="1" s="1"/>
  <c r="AR53" i="1" s="1"/>
  <c r="AS53" i="1" s="1"/>
  <c r="Q383" i="170"/>
  <c r="S36" i="170"/>
  <c r="AO31" i="1" s="1"/>
  <c r="AP31" i="1" s="1"/>
  <c r="AQ31" i="1" s="1"/>
  <c r="AR31" i="1" s="1"/>
  <c r="AS31" i="1" s="1"/>
  <c r="Q36" i="170"/>
  <c r="Q209" i="170"/>
  <c r="S209" i="170"/>
  <c r="AO202" i="1" s="1"/>
  <c r="AP202" i="1" s="1"/>
  <c r="AQ202" i="1" s="1"/>
  <c r="AR202" i="1" s="1"/>
  <c r="AS202" i="1" s="1"/>
  <c r="R391" i="170"/>
  <c r="X391" i="170"/>
  <c r="R92" i="170"/>
  <c r="X92" i="170"/>
  <c r="R244" i="170"/>
  <c r="X244" i="170"/>
  <c r="T124" i="170"/>
  <c r="U124" i="170"/>
  <c r="P124" i="170"/>
  <c r="AN306" i="1" s="1"/>
  <c r="U194" i="170"/>
  <c r="P194" i="170"/>
  <c r="AN298" i="1" s="1"/>
  <c r="U295" i="170"/>
  <c r="S295" i="170" s="1"/>
  <c r="AO331" i="1" s="1"/>
  <c r="P295" i="170"/>
  <c r="AN331" i="1" s="1"/>
  <c r="T112" i="170"/>
  <c r="Q112" i="170" s="1"/>
  <c r="P112" i="170"/>
  <c r="AN171" i="1" s="1"/>
  <c r="S26" i="170"/>
  <c r="AO183" i="1" s="1"/>
  <c r="AP183" i="1" s="1"/>
  <c r="AQ183" i="1" s="1"/>
  <c r="AR183" i="1" s="1"/>
  <c r="AS183" i="1" s="1"/>
  <c r="Q26" i="170"/>
  <c r="S68" i="170"/>
  <c r="AO107" i="1" s="1"/>
  <c r="AP107" i="1" s="1"/>
  <c r="AQ107" i="1" s="1"/>
  <c r="AR107" i="1" s="1"/>
  <c r="AS107" i="1" s="1"/>
  <c r="Q68" i="170"/>
  <c r="R386" i="170"/>
  <c r="X386" i="170"/>
  <c r="R383" i="170"/>
  <c r="X383" i="170"/>
  <c r="Q389" i="170"/>
  <c r="S389" i="170"/>
  <c r="AO67" i="1" s="1"/>
  <c r="AP67" i="1" s="1"/>
  <c r="AQ67" i="1" s="1"/>
  <c r="AR67" i="1" s="1"/>
  <c r="AS67" i="1" s="1"/>
  <c r="Q59" i="170"/>
  <c r="S59" i="170"/>
  <c r="AO90" i="1" s="1"/>
  <c r="AP90" i="1" s="1"/>
  <c r="AQ90" i="1" s="1"/>
  <c r="AR90" i="1" s="1"/>
  <c r="AS90" i="1" s="1"/>
  <c r="S57" i="170"/>
  <c r="AO385" i="1" s="1"/>
  <c r="AP385" i="1" s="1"/>
  <c r="AQ385" i="1" s="1"/>
  <c r="AR385" i="1" s="1"/>
  <c r="AS385" i="1" s="1"/>
  <c r="Q57" i="170"/>
  <c r="Q390" i="170"/>
  <c r="S390" i="170"/>
  <c r="AO68" i="1" s="1"/>
  <c r="AP68" i="1" s="1"/>
  <c r="AQ68" i="1" s="1"/>
  <c r="AR68" i="1" s="1"/>
  <c r="AS68" i="1" s="1"/>
  <c r="R241" i="170"/>
  <c r="X241" i="170"/>
  <c r="P335" i="170"/>
  <c r="AN325" i="1" s="1"/>
  <c r="T335" i="170"/>
  <c r="U335" i="170"/>
  <c r="U289" i="170"/>
  <c r="T289" i="170"/>
  <c r="P289" i="170"/>
  <c r="AN36" i="1" s="1"/>
  <c r="T225" i="170"/>
  <c r="P225" i="170"/>
  <c r="AN358" i="1" s="1"/>
  <c r="R63" i="170"/>
  <c r="X63" i="170"/>
  <c r="S56" i="170"/>
  <c r="AO249" i="1" s="1"/>
  <c r="AP249" i="1" s="1"/>
  <c r="AQ249" i="1" s="1"/>
  <c r="AR249" i="1" s="1"/>
  <c r="AS249" i="1" s="1"/>
  <c r="Q56" i="170"/>
  <c r="S245" i="170"/>
  <c r="AO84" i="1" s="1"/>
  <c r="AP84" i="1" s="1"/>
  <c r="AQ84" i="1" s="1"/>
  <c r="AR84" i="1" s="1"/>
  <c r="AS84" i="1" s="1"/>
  <c r="Q245" i="170"/>
  <c r="Q205" i="170"/>
  <c r="S205" i="170"/>
  <c r="AO103" i="1" s="1"/>
  <c r="S208" i="170"/>
  <c r="AO52" i="1" s="1"/>
  <c r="AP52" i="1" s="1"/>
  <c r="AQ52" i="1" s="1"/>
  <c r="AR52" i="1" s="1"/>
  <c r="AS52" i="1" s="1"/>
  <c r="Q208" i="170"/>
  <c r="S152" i="170"/>
  <c r="AO314" i="1" s="1"/>
  <c r="AP314" i="1" s="1"/>
  <c r="AQ314" i="1" s="1"/>
  <c r="AR314" i="1" s="1"/>
  <c r="AS314" i="1" s="1"/>
  <c r="Q152" i="170"/>
  <c r="P74" i="170"/>
  <c r="AN189" i="1" s="1"/>
  <c r="U74" i="170"/>
  <c r="T74" i="170"/>
  <c r="T127" i="170"/>
  <c r="P127" i="170"/>
  <c r="AN161" i="1" s="1"/>
  <c r="T20" i="170"/>
  <c r="Q20" i="170" s="1"/>
  <c r="P20" i="170"/>
  <c r="AN217" i="1" s="1"/>
  <c r="R164" i="170"/>
  <c r="X164" i="170"/>
  <c r="S391" i="170"/>
  <c r="AO236" i="1" s="1"/>
  <c r="AP236" i="1" s="1"/>
  <c r="AQ236" i="1" s="1"/>
  <c r="AR236" i="1" s="1"/>
  <c r="AS236" i="1" s="1"/>
  <c r="Q391" i="170"/>
  <c r="R372" i="170"/>
  <c r="X372" i="170"/>
  <c r="X192" i="170"/>
  <c r="P136" i="170"/>
  <c r="AN347" i="1" s="1"/>
  <c r="X284" i="170"/>
  <c r="S24" i="170"/>
  <c r="AO286" i="1" s="1"/>
  <c r="P104" i="170"/>
  <c r="AN195" i="1" s="1"/>
  <c r="U170" i="170"/>
  <c r="R170" i="170" s="1"/>
  <c r="U337" i="170"/>
  <c r="R337" i="170" s="1"/>
  <c r="U100" i="170"/>
  <c r="R100" i="170" s="1"/>
  <c r="U306" i="170"/>
  <c r="R306" i="170" s="1"/>
  <c r="U323" i="170"/>
  <c r="S323" i="170" s="1"/>
  <c r="AO22" i="1" s="1"/>
  <c r="U16" i="170"/>
  <c r="R16" i="170" s="1"/>
  <c r="P10" i="170"/>
  <c r="AN327" i="1" s="1"/>
  <c r="U181" i="170"/>
  <c r="R181" i="170" s="1"/>
  <c r="T21" i="170"/>
  <c r="S21" i="170" s="1"/>
  <c r="AO35" i="1" s="1"/>
  <c r="U10" i="170"/>
  <c r="R10" i="170" s="1"/>
  <c r="P192" i="170"/>
  <c r="AN378" i="1" s="1"/>
  <c r="P317" i="170"/>
  <c r="AN258" i="1" s="1"/>
  <c r="R26" i="170"/>
  <c r="X26" i="170"/>
  <c r="R237" i="170"/>
  <c r="X237" i="170"/>
  <c r="R48" i="170"/>
  <c r="X48" i="170"/>
  <c r="S386" i="170"/>
  <c r="AO361" i="1" s="1"/>
  <c r="AP361" i="1" s="1"/>
  <c r="AQ361" i="1" s="1"/>
  <c r="AR361" i="1" s="1"/>
  <c r="AS361" i="1" s="1"/>
  <c r="Q386" i="170"/>
  <c r="R152" i="170"/>
  <c r="X152" i="170"/>
  <c r="Q148" i="170"/>
  <c r="S148" i="170"/>
  <c r="AO363" i="1" s="1"/>
  <c r="AP363" i="1" s="1"/>
  <c r="AQ363" i="1" s="1"/>
  <c r="AR363" i="1" s="1"/>
  <c r="AS363" i="1" s="1"/>
  <c r="R57" i="170"/>
  <c r="X57" i="170"/>
  <c r="R132" i="170"/>
  <c r="X132" i="170"/>
  <c r="S132" i="170"/>
  <c r="AO80" i="1" s="1"/>
  <c r="AP80" i="1" s="1"/>
  <c r="AQ80" i="1" s="1"/>
  <c r="AR80" i="1" s="1"/>
  <c r="AS80" i="1" s="1"/>
  <c r="R51" i="170"/>
  <c r="X51" i="170"/>
  <c r="R62" i="170"/>
  <c r="S62" i="170"/>
  <c r="AO291" i="1" s="1"/>
  <c r="AP291" i="1" s="1"/>
  <c r="AQ291" i="1" s="1"/>
  <c r="AR291" i="1" s="1"/>
  <c r="AS291" i="1" s="1"/>
  <c r="X62" i="170"/>
  <c r="S394" i="170"/>
  <c r="AO237" i="1" s="1"/>
  <c r="AP237" i="1" s="1"/>
  <c r="AQ237" i="1" s="1"/>
  <c r="AR237" i="1" s="1"/>
  <c r="AS237" i="1" s="1"/>
  <c r="Q394" i="170"/>
  <c r="U105" i="170"/>
  <c r="T105" i="170"/>
  <c r="P105" i="170"/>
  <c r="AN14" i="1" s="1"/>
  <c r="R387" i="170"/>
  <c r="X387" i="170"/>
  <c r="R246" i="170"/>
  <c r="X246" i="170"/>
  <c r="S49" i="170"/>
  <c r="AO210" i="1" s="1"/>
  <c r="AP210" i="1" s="1"/>
  <c r="AQ210" i="1" s="1"/>
  <c r="AR210" i="1" s="1"/>
  <c r="AS210" i="1" s="1"/>
  <c r="Q49" i="170"/>
  <c r="Q204" i="170"/>
  <c r="S204" i="170"/>
  <c r="AO323" i="1" s="1"/>
  <c r="AP323" i="1" s="1"/>
  <c r="AQ323" i="1" s="1"/>
  <c r="AR323" i="1" s="1"/>
  <c r="AS323" i="1" s="1"/>
  <c r="S372" i="170"/>
  <c r="AO32" i="1" s="1"/>
  <c r="AP32" i="1" s="1"/>
  <c r="AQ32" i="1" s="1"/>
  <c r="AR32" i="1" s="1"/>
  <c r="AS32" i="1" s="1"/>
  <c r="Q372" i="170"/>
  <c r="U230" i="170"/>
  <c r="R230" i="170" s="1"/>
  <c r="U108" i="170"/>
  <c r="R108" i="170" s="1"/>
  <c r="U104" i="170"/>
  <c r="R104" i="170" s="1"/>
  <c r="U167" i="170"/>
  <c r="R167" i="170" s="1"/>
  <c r="T252" i="170"/>
  <c r="T194" i="170"/>
  <c r="S244" i="170"/>
  <c r="AO267" i="1" s="1"/>
  <c r="AP267" i="1" s="1"/>
  <c r="AQ267" i="1" s="1"/>
  <c r="AR267" i="1" s="1"/>
  <c r="AS267" i="1" s="1"/>
  <c r="Q244" i="170"/>
  <c r="U226" i="170"/>
  <c r="P226" i="170"/>
  <c r="AN343" i="1" s="1"/>
  <c r="T226" i="170"/>
  <c r="P145" i="170"/>
  <c r="AN30" i="1" s="1"/>
  <c r="T145" i="170"/>
  <c r="U145" i="170"/>
  <c r="S47" i="170"/>
  <c r="AO89" i="1" s="1"/>
  <c r="AP89" i="1" s="1"/>
  <c r="AQ89" i="1" s="1"/>
  <c r="AR89" i="1" s="1"/>
  <c r="AS89" i="1" s="1"/>
  <c r="Q47" i="170"/>
  <c r="R203" i="170"/>
  <c r="X203" i="170"/>
  <c r="S237" i="170"/>
  <c r="AO142" i="1" s="1"/>
  <c r="AP142" i="1" s="1"/>
  <c r="AQ142" i="1" s="1"/>
  <c r="AR142" i="1" s="1"/>
  <c r="AS142" i="1" s="1"/>
  <c r="Q237" i="170"/>
  <c r="S379" i="170"/>
  <c r="AO65" i="1" s="1"/>
  <c r="AP65" i="1" s="1"/>
  <c r="AQ65" i="1" s="1"/>
  <c r="AR65" i="1" s="1"/>
  <c r="AS65" i="1" s="1"/>
  <c r="Q379" i="170"/>
  <c r="R201" i="170"/>
  <c r="X201" i="170"/>
  <c r="Q393" i="170"/>
  <c r="S393" i="170"/>
  <c r="AO239" i="1" s="1"/>
  <c r="AP239" i="1" s="1"/>
  <c r="AQ239" i="1" s="1"/>
  <c r="AR239" i="1" s="1"/>
  <c r="AS239" i="1" s="1"/>
  <c r="R381" i="170"/>
  <c r="X381" i="170"/>
  <c r="Q157" i="170"/>
  <c r="S157" i="170"/>
  <c r="AO149" i="1" s="1"/>
  <c r="AP149" i="1" s="1"/>
  <c r="AQ149" i="1" s="1"/>
  <c r="AR149" i="1" s="1"/>
  <c r="AS149" i="1" s="1"/>
  <c r="Q378" i="170"/>
  <c r="S378" i="170"/>
  <c r="AO63" i="1" s="1"/>
  <c r="AP63" i="1" s="1"/>
  <c r="AQ63" i="1" s="1"/>
  <c r="AR63" i="1" s="1"/>
  <c r="AS63" i="1" s="1"/>
  <c r="Q51" i="170"/>
  <c r="S51" i="170"/>
  <c r="AO248" i="1" s="1"/>
  <c r="AP248" i="1" s="1"/>
  <c r="AQ248" i="1" s="1"/>
  <c r="AR248" i="1" s="1"/>
  <c r="AS248" i="1" s="1"/>
  <c r="U139" i="170"/>
  <c r="T139" i="170"/>
  <c r="P139" i="170"/>
  <c r="AN85" i="1" s="1"/>
  <c r="T321" i="170"/>
  <c r="P321" i="170"/>
  <c r="AN353" i="1" s="1"/>
  <c r="U321" i="170"/>
  <c r="U287" i="170"/>
  <c r="P287" i="170"/>
  <c r="AN284" i="1" s="1"/>
  <c r="S162" i="170"/>
  <c r="AO368" i="1" s="1"/>
  <c r="AP368" i="1" s="1"/>
  <c r="AQ368" i="1" s="1"/>
  <c r="AR368" i="1" s="1"/>
  <c r="AS368" i="1" s="1"/>
  <c r="Q162" i="170"/>
  <c r="R56" i="170"/>
  <c r="X56" i="170"/>
  <c r="R245" i="170"/>
  <c r="X245" i="170"/>
  <c r="X205" i="170"/>
  <c r="R205" i="170"/>
  <c r="S387" i="170"/>
  <c r="AO268" i="1" s="1"/>
  <c r="AP268" i="1" s="1"/>
  <c r="AQ268" i="1" s="1"/>
  <c r="AR268" i="1" s="1"/>
  <c r="AS268" i="1" s="1"/>
  <c r="Q387" i="170"/>
  <c r="S246" i="170"/>
  <c r="AO315" i="1" s="1"/>
  <c r="AP315" i="1" s="1"/>
  <c r="AQ315" i="1" s="1"/>
  <c r="AR315" i="1" s="1"/>
  <c r="AS315" i="1" s="1"/>
  <c r="Q246" i="170"/>
  <c r="P351" i="170"/>
  <c r="AN250" i="1" s="1"/>
  <c r="U351" i="170"/>
  <c r="T351" i="170"/>
  <c r="T290" i="170"/>
  <c r="U290" i="170"/>
  <c r="P290" i="170"/>
  <c r="AN355" i="1" s="1"/>
  <c r="U229" i="170"/>
  <c r="P229" i="170"/>
  <c r="AN231" i="1" s="1"/>
  <c r="T229" i="170"/>
  <c r="T255" i="170"/>
  <c r="P255" i="170"/>
  <c r="AN188" i="1" s="1"/>
  <c r="R49" i="170"/>
  <c r="X49" i="170"/>
  <c r="Q90" i="170"/>
  <c r="S90" i="170"/>
  <c r="AO311" i="1" s="1"/>
  <c r="AP311" i="1" s="1"/>
  <c r="AQ311" i="1" s="1"/>
  <c r="AR311" i="1" s="1"/>
  <c r="AS311" i="1" s="1"/>
  <c r="R204" i="170"/>
  <c r="X204" i="170"/>
  <c r="P337" i="170"/>
  <c r="AN100" i="1" s="1"/>
  <c r="U292" i="170"/>
  <c r="R292" i="170" s="1"/>
  <c r="T179" i="170"/>
  <c r="Q179" i="170" s="1"/>
  <c r="P266" i="170"/>
  <c r="AN20" i="1" s="1"/>
  <c r="U142" i="170"/>
  <c r="R142" i="170" s="1"/>
  <c r="U334" i="170"/>
  <c r="R334" i="170" s="1"/>
  <c r="U346" i="170"/>
  <c r="R346" i="170" s="1"/>
  <c r="U215" i="170"/>
  <c r="R215" i="170" s="1"/>
  <c r="U227" i="170"/>
  <c r="R227" i="170" s="1"/>
  <c r="U182" i="170"/>
  <c r="R182" i="170" s="1"/>
  <c r="P106" i="170"/>
  <c r="AN177" i="1" s="1"/>
  <c r="U225" i="170"/>
  <c r="P189" i="170"/>
  <c r="AN324" i="1" s="1"/>
  <c r="U317" i="170"/>
  <c r="P182" i="170"/>
  <c r="AN151" i="1" s="1"/>
  <c r="T77" i="170"/>
  <c r="Q55" i="170"/>
  <c r="S55" i="170"/>
  <c r="AO219" i="1" s="1"/>
  <c r="AP219" i="1" s="1"/>
  <c r="AQ219" i="1" s="1"/>
  <c r="AR219" i="1" s="1"/>
  <c r="AS219" i="1" s="1"/>
  <c r="R159" i="170"/>
  <c r="X159" i="170"/>
  <c r="R47" i="170"/>
  <c r="X47" i="170"/>
  <c r="Q48" i="170"/>
  <c r="S48" i="170"/>
  <c r="AO209" i="1" s="1"/>
  <c r="AP209" i="1" s="1"/>
  <c r="AQ209" i="1" s="1"/>
  <c r="AR209" i="1" s="1"/>
  <c r="AS209" i="1" s="1"/>
  <c r="R379" i="170"/>
  <c r="X379" i="170"/>
  <c r="Q37" i="170"/>
  <c r="S37" i="170"/>
  <c r="AO299" i="1" s="1"/>
  <c r="AP299" i="1" s="1"/>
  <c r="AQ299" i="1" s="1"/>
  <c r="AR299" i="1" s="1"/>
  <c r="AS299" i="1" s="1"/>
  <c r="T11" i="170"/>
  <c r="P11" i="170"/>
  <c r="AN157" i="1" s="1"/>
  <c r="S381" i="170"/>
  <c r="AO69" i="1" s="1"/>
  <c r="AP69" i="1" s="1"/>
  <c r="AQ69" i="1" s="1"/>
  <c r="AR69" i="1" s="1"/>
  <c r="AS69" i="1" s="1"/>
  <c r="Q381" i="170"/>
  <c r="R157" i="170"/>
  <c r="X157" i="170"/>
  <c r="R378" i="170"/>
  <c r="X378" i="170"/>
  <c r="Q25" i="170"/>
  <c r="S25" i="170"/>
  <c r="AO182" i="1" s="1"/>
  <c r="AP182" i="1" s="1"/>
  <c r="AQ182" i="1" s="1"/>
  <c r="AR182" i="1" s="1"/>
  <c r="AS182" i="1" s="1"/>
  <c r="R200" i="170"/>
  <c r="X200" i="170"/>
  <c r="R371" i="170"/>
  <c r="X371" i="170"/>
  <c r="R394" i="170"/>
  <c r="X394" i="170"/>
  <c r="Q54" i="170"/>
  <c r="S54" i="170"/>
  <c r="AO112" i="1" s="1"/>
  <c r="AP112" i="1" s="1"/>
  <c r="AQ112" i="1" s="1"/>
  <c r="AR112" i="1" s="1"/>
  <c r="AS112" i="1" s="1"/>
  <c r="S58" i="170"/>
  <c r="AO41" i="1" s="1"/>
  <c r="AP41" i="1" s="1"/>
  <c r="AQ41" i="1" s="1"/>
  <c r="AR41" i="1" s="1"/>
  <c r="AS41" i="1" s="1"/>
  <c r="Q58" i="170"/>
  <c r="Q53" i="170"/>
  <c r="S53" i="170"/>
  <c r="AO95" i="1" s="1"/>
  <c r="AP95" i="1" s="1"/>
  <c r="AQ95" i="1" s="1"/>
  <c r="AR95" i="1" s="1"/>
  <c r="AS95" i="1" s="1"/>
  <c r="R90" i="170"/>
  <c r="X90" i="170"/>
  <c r="R388" i="170"/>
  <c r="X388" i="170"/>
  <c r="P21" i="170"/>
  <c r="AN35" i="1" s="1"/>
  <c r="U283" i="170"/>
  <c r="P283" i="170"/>
  <c r="AN294" i="1" s="1"/>
  <c r="R55" i="170"/>
  <c r="X55" i="170"/>
  <c r="Q159" i="170"/>
  <c r="S159" i="170"/>
  <c r="AO148" i="1" s="1"/>
  <c r="AP148" i="1" s="1"/>
  <c r="AQ148" i="1" s="1"/>
  <c r="AR148" i="1" s="1"/>
  <c r="AS148" i="1" s="1"/>
  <c r="P313" i="170"/>
  <c r="AN45" i="1" s="1"/>
  <c r="U313" i="170"/>
  <c r="T313" i="170"/>
  <c r="T264" i="170"/>
  <c r="U264" i="170"/>
  <c r="P264" i="170"/>
  <c r="AN129" i="1" s="1"/>
  <c r="T113" i="170"/>
  <c r="U113" i="170"/>
  <c r="P113" i="170"/>
  <c r="AN194" i="1" s="1"/>
  <c r="T359" i="170"/>
  <c r="U359" i="170"/>
  <c r="P359" i="170"/>
  <c r="AN37" i="1" s="1"/>
  <c r="Q150" i="170"/>
  <c r="S150" i="170"/>
  <c r="AO200" i="1" s="1"/>
  <c r="AP200" i="1" s="1"/>
  <c r="AQ200" i="1" s="1"/>
  <c r="AR200" i="1" s="1"/>
  <c r="AS200" i="1" s="1"/>
  <c r="Q203" i="170"/>
  <c r="S203" i="170"/>
  <c r="AO125" i="1" s="1"/>
  <c r="AP125" i="1" s="1"/>
  <c r="AQ125" i="1" s="1"/>
  <c r="AR125" i="1" s="1"/>
  <c r="AS125" i="1" s="1"/>
  <c r="Q236" i="170"/>
  <c r="S236" i="170"/>
  <c r="AO272" i="1" s="1"/>
  <c r="AP272" i="1" s="1"/>
  <c r="AQ272" i="1" s="1"/>
  <c r="AR272" i="1" s="1"/>
  <c r="AS272" i="1" s="1"/>
  <c r="Q131" i="170"/>
  <c r="S131" i="170"/>
  <c r="AO186" i="1" s="1"/>
  <c r="AP186" i="1" s="1"/>
  <c r="AQ186" i="1" s="1"/>
  <c r="AR186" i="1" s="1"/>
  <c r="AS186" i="1" s="1"/>
  <c r="R37" i="170"/>
  <c r="X37" i="170"/>
  <c r="Q201" i="170"/>
  <c r="S201" i="170"/>
  <c r="AO79" i="1" s="1"/>
  <c r="S374" i="170"/>
  <c r="AO121" i="1" s="1"/>
  <c r="AP121" i="1" s="1"/>
  <c r="AQ121" i="1" s="1"/>
  <c r="AR121" i="1" s="1"/>
  <c r="AS121" i="1" s="1"/>
  <c r="Q374" i="170"/>
  <c r="S385" i="170"/>
  <c r="AO105" i="1" s="1"/>
  <c r="AP105" i="1" s="1"/>
  <c r="AQ105" i="1" s="1"/>
  <c r="AR105" i="1" s="1"/>
  <c r="AS105" i="1" s="1"/>
  <c r="Q385" i="170"/>
  <c r="R25" i="170"/>
  <c r="X25" i="170"/>
  <c r="U251" i="170"/>
  <c r="T251" i="170"/>
  <c r="R396" i="170"/>
  <c r="X396" i="170"/>
  <c r="R153" i="170"/>
  <c r="X153" i="170"/>
  <c r="S200" i="170"/>
  <c r="AO61" i="1" s="1"/>
  <c r="Q200" i="170"/>
  <c r="P109" i="170"/>
  <c r="AN197" i="1" s="1"/>
  <c r="U109" i="170"/>
  <c r="T109" i="170"/>
  <c r="T22" i="170"/>
  <c r="P22" i="170"/>
  <c r="AN356" i="1" s="1"/>
  <c r="U22" i="170"/>
  <c r="T114" i="170"/>
  <c r="Q114" i="170" s="1"/>
  <c r="P114" i="170"/>
  <c r="AN321" i="1" s="1"/>
  <c r="R162" i="170"/>
  <c r="X162" i="170"/>
  <c r="S158" i="170"/>
  <c r="AO27" i="1" s="1"/>
  <c r="AP27" i="1" s="1"/>
  <c r="AQ27" i="1" s="1"/>
  <c r="AR27" i="1" s="1"/>
  <c r="AS27" i="1" s="1"/>
  <c r="Q158" i="170"/>
  <c r="S242" i="170"/>
  <c r="AO364" i="1" s="1"/>
  <c r="AP364" i="1" s="1"/>
  <c r="AQ364" i="1" s="1"/>
  <c r="AR364" i="1" s="1"/>
  <c r="AS364" i="1" s="1"/>
  <c r="Q242" i="170"/>
  <c r="U310" i="170"/>
  <c r="T310" i="170"/>
  <c r="P310" i="170"/>
  <c r="AN54" i="1" s="1"/>
  <c r="T184" i="170"/>
  <c r="U184" i="170"/>
  <c r="P184" i="170"/>
  <c r="AN386" i="1" s="1"/>
  <c r="U300" i="170"/>
  <c r="P300" i="170"/>
  <c r="AN365" i="1" s="1"/>
  <c r="T300" i="170"/>
  <c r="R58" i="170"/>
  <c r="X58" i="170"/>
  <c r="R53" i="170"/>
  <c r="X53" i="170"/>
  <c r="S328" i="170"/>
  <c r="AO23" i="1" s="1"/>
  <c r="AP23" i="1" s="1"/>
  <c r="AQ23" i="1" s="1"/>
  <c r="AR23" i="1" s="1"/>
  <c r="AS23" i="1" s="1"/>
  <c r="Q328" i="170"/>
  <c r="S388" i="170"/>
  <c r="AO75" i="1" s="1"/>
  <c r="AP75" i="1" s="1"/>
  <c r="AQ75" i="1" s="1"/>
  <c r="AR75" i="1" s="1"/>
  <c r="AS75" i="1" s="1"/>
  <c r="Q388" i="170"/>
  <c r="X114" i="170"/>
  <c r="X281" i="170"/>
  <c r="S281" i="170"/>
  <c r="AO383" i="1" s="1"/>
  <c r="U168" i="170"/>
  <c r="T16" i="170"/>
  <c r="Q16" i="170" s="1"/>
  <c r="P121" i="170"/>
  <c r="AN169" i="1" s="1"/>
  <c r="T168" i="170"/>
  <c r="U18" i="170"/>
  <c r="U314" i="170"/>
  <c r="P267" i="170"/>
  <c r="AN285" i="1" s="1"/>
  <c r="U216" i="170"/>
  <c r="P296" i="170"/>
  <c r="AN349" i="1" s="1"/>
  <c r="P107" i="170"/>
  <c r="AN305" i="1" s="1"/>
  <c r="T220" i="170"/>
  <c r="T287" i="170"/>
  <c r="P215" i="170"/>
  <c r="AN380" i="1" s="1"/>
  <c r="U343" i="170"/>
  <c r="S154" i="170"/>
  <c r="AO288" i="1" s="1"/>
  <c r="AP288" i="1" s="1"/>
  <c r="AQ288" i="1" s="1"/>
  <c r="AR288" i="1" s="1"/>
  <c r="AS288" i="1" s="1"/>
  <c r="Q154" i="170"/>
  <c r="S40" i="170"/>
  <c r="AO120" i="1" s="1"/>
  <c r="AP120" i="1" s="1"/>
  <c r="AQ120" i="1" s="1"/>
  <c r="AR120" i="1" s="1"/>
  <c r="AS120" i="1" s="1"/>
  <c r="Q40" i="170"/>
  <c r="R236" i="170"/>
  <c r="X236" i="170"/>
  <c r="R38" i="170"/>
  <c r="X38" i="170"/>
  <c r="R52" i="170"/>
  <c r="X52" i="170"/>
  <c r="R374" i="170"/>
  <c r="X374" i="170"/>
  <c r="R385" i="170"/>
  <c r="X385" i="170"/>
  <c r="S165" i="170"/>
  <c r="AO25" i="1" s="1"/>
  <c r="AP25" i="1" s="1"/>
  <c r="AQ25" i="1" s="1"/>
  <c r="AR25" i="1" s="1"/>
  <c r="AS25" i="1" s="1"/>
  <c r="Q165" i="170"/>
  <c r="S395" i="170"/>
  <c r="AO64" i="1" s="1"/>
  <c r="AP64" i="1" s="1"/>
  <c r="AQ64" i="1" s="1"/>
  <c r="AR64" i="1" s="1"/>
  <c r="AS64" i="1" s="1"/>
  <c r="Q395" i="170"/>
  <c r="S207" i="170"/>
  <c r="AO124" i="1" s="1"/>
  <c r="Q207" i="170"/>
  <c r="Q396" i="170"/>
  <c r="S396" i="170"/>
  <c r="AO117" i="1" s="1"/>
  <c r="AP117" i="1" s="1"/>
  <c r="AQ117" i="1" s="1"/>
  <c r="AR117" i="1" s="1"/>
  <c r="AS117" i="1" s="1"/>
  <c r="Q153" i="170"/>
  <c r="S153" i="170"/>
  <c r="AO275" i="1" s="1"/>
  <c r="AP275" i="1" s="1"/>
  <c r="AQ275" i="1" s="1"/>
  <c r="AR275" i="1" s="1"/>
  <c r="AS275" i="1" s="1"/>
  <c r="R373" i="170"/>
  <c r="X373" i="170"/>
  <c r="S371" i="170"/>
  <c r="AO58" i="1" s="1"/>
  <c r="AP58" i="1" s="1"/>
  <c r="AQ58" i="1" s="1"/>
  <c r="AR58" i="1" s="1"/>
  <c r="AS58" i="1" s="1"/>
  <c r="Q371" i="170"/>
  <c r="R160" i="170"/>
  <c r="X160" i="170"/>
  <c r="R158" i="170"/>
  <c r="X158" i="170"/>
  <c r="R242" i="170"/>
  <c r="X242" i="170"/>
  <c r="R54" i="170"/>
  <c r="X54" i="170"/>
  <c r="R147" i="170"/>
  <c r="X147" i="170"/>
  <c r="Q373" i="170"/>
  <c r="S373" i="170"/>
  <c r="AO59" i="1" s="1"/>
  <c r="AP59" i="1" s="1"/>
  <c r="AQ59" i="1" s="1"/>
  <c r="AR59" i="1" s="1"/>
  <c r="AS59" i="1" s="1"/>
  <c r="R328" i="170"/>
  <c r="X328" i="170"/>
  <c r="X112" i="170"/>
  <c r="S262" i="170"/>
  <c r="AO295" i="1" s="1"/>
  <c r="Q340" i="170"/>
  <c r="S166" i="170"/>
  <c r="AO158" i="1" s="1"/>
  <c r="X219" i="170"/>
  <c r="S137" i="170"/>
  <c r="AO348" i="1" s="1"/>
  <c r="X273" i="170"/>
  <c r="S219" i="170"/>
  <c r="AO141" i="1" s="1"/>
  <c r="X20" i="170"/>
  <c r="S135" i="170"/>
  <c r="AO279" i="1" s="1"/>
  <c r="X196" i="170"/>
  <c r="S196" i="170"/>
  <c r="AO127" i="1" s="1"/>
  <c r="S190" i="170"/>
  <c r="AO205" i="1" s="1"/>
  <c r="X24" i="170"/>
  <c r="X176" i="170"/>
  <c r="S176" i="170"/>
  <c r="AO113" i="1" s="1"/>
  <c r="O22" i="71"/>
  <c r="P22" i="71" s="1"/>
  <c r="O11" i="71"/>
  <c r="P11" i="71" s="1"/>
  <c r="W272" i="170"/>
  <c r="V272" i="170"/>
  <c r="S274" i="170"/>
  <c r="AO332" i="1" s="1"/>
  <c r="Q274" i="170"/>
  <c r="S212" i="170"/>
  <c r="AO282" i="1" s="1"/>
  <c r="Q212" i="170"/>
  <c r="U282" i="170"/>
  <c r="T282" i="170"/>
  <c r="U146" i="170"/>
  <c r="R146" i="170" s="1"/>
  <c r="T146" i="170"/>
  <c r="P375" i="170"/>
  <c r="AN12" i="1" s="1"/>
  <c r="W375" i="170"/>
  <c r="V375" i="170"/>
  <c r="Q375" i="170" s="1"/>
  <c r="S174" i="170"/>
  <c r="AO6" i="1" s="1"/>
  <c r="Q174" i="170"/>
  <c r="P277" i="170"/>
  <c r="AN9" i="1" s="1"/>
  <c r="W277" i="170"/>
  <c r="V277" i="170"/>
  <c r="Q270" i="170"/>
  <c r="S270" i="170"/>
  <c r="AO8" i="1" s="1"/>
  <c r="W282" i="170"/>
  <c r="V282" i="170"/>
  <c r="T272" i="170"/>
  <c r="U272" i="170"/>
  <c r="P193" i="170"/>
  <c r="AN10" i="1" s="1"/>
  <c r="W193" i="170"/>
  <c r="R193" i="170" s="1"/>
  <c r="V193" i="170"/>
  <c r="P251" i="170"/>
  <c r="AN17" i="1" s="1"/>
  <c r="W251" i="170"/>
  <c r="V251" i="170"/>
  <c r="Q136" i="170"/>
  <c r="P282" i="170"/>
  <c r="AN16" i="1" s="1"/>
  <c r="X274" i="170"/>
  <c r="X174" i="170"/>
  <c r="X270" i="170"/>
  <c r="X120" i="170"/>
  <c r="P272" i="170"/>
  <c r="AN7" i="1" s="1"/>
  <c r="P146" i="170"/>
  <c r="AN15" i="1" s="1"/>
  <c r="B10" i="102" s="1"/>
  <c r="X212" i="170"/>
  <c r="AP289" i="1"/>
  <c r="AQ289" i="1" s="1"/>
  <c r="AR289" i="1" s="1"/>
  <c r="AS289" i="1" s="1"/>
  <c r="AP373" i="1"/>
  <c r="AQ373" i="1" s="1"/>
  <c r="AR373" i="1" s="1"/>
  <c r="AS373" i="1" s="1"/>
  <c r="AP388" i="1"/>
  <c r="AQ388" i="1" s="1"/>
  <c r="AR388" i="1" s="1"/>
  <c r="AS388" i="1" s="1"/>
  <c r="AP266" i="1"/>
  <c r="AQ266" i="1" s="1"/>
  <c r="AR266" i="1" s="1"/>
  <c r="AS266" i="1" s="1"/>
  <c r="AP114" i="1"/>
  <c r="AQ114" i="1" s="1"/>
  <c r="AR114" i="1" s="1"/>
  <c r="AS114" i="1" s="1"/>
  <c r="AP392" i="1"/>
  <c r="AQ392" i="1" s="1"/>
  <c r="AR392" i="1" s="1"/>
  <c r="AS392" i="1" s="1"/>
  <c r="AP122" i="1"/>
  <c r="AQ122" i="1" s="1"/>
  <c r="AR122" i="1" s="1"/>
  <c r="AS122" i="1" s="1"/>
  <c r="AP396" i="1"/>
  <c r="AQ396" i="1" s="1"/>
  <c r="AR396" i="1" s="1"/>
  <c r="AS396" i="1" s="1"/>
  <c r="AP390" i="1"/>
  <c r="AQ390" i="1" s="1"/>
  <c r="AR390" i="1" s="1"/>
  <c r="AS390" i="1" s="1"/>
  <c r="AP293" i="1"/>
  <c r="AQ293" i="1" s="1"/>
  <c r="AR293" i="1" s="1"/>
  <c r="AS293" i="1" s="1"/>
  <c r="AP384" i="1"/>
  <c r="AQ384" i="1" s="1"/>
  <c r="AR384" i="1" s="1"/>
  <c r="AS384" i="1" s="1"/>
  <c r="AP229" i="1"/>
  <c r="AQ229" i="1" s="1"/>
  <c r="AR229" i="1" s="1"/>
  <c r="AS229" i="1" s="1"/>
  <c r="AP350" i="1"/>
  <c r="AQ350" i="1" s="1"/>
  <c r="AR350" i="1" s="1"/>
  <c r="AS350" i="1" s="1"/>
  <c r="AP111" i="1"/>
  <c r="AQ111" i="1" s="1"/>
  <c r="AR111" i="1" s="1"/>
  <c r="AS111" i="1" s="1"/>
  <c r="AP227" i="1"/>
  <c r="AQ227" i="1" s="1"/>
  <c r="AR227" i="1" s="1"/>
  <c r="AS227" i="1" s="1"/>
  <c r="AP254" i="1"/>
  <c r="AQ254" i="1" s="1"/>
  <c r="AR254" i="1" s="1"/>
  <c r="AS254" i="1" s="1"/>
  <c r="AP147" i="1"/>
  <c r="AQ147" i="1" s="1"/>
  <c r="AR147" i="1" s="1"/>
  <c r="AS147" i="1" s="1"/>
  <c r="AP184" i="1"/>
  <c r="AQ184" i="1" s="1"/>
  <c r="AR184" i="1" s="1"/>
  <c r="AS184" i="1" s="1"/>
  <c r="AP271" i="1"/>
  <c r="AQ271" i="1" s="1"/>
  <c r="AR271" i="1" s="1"/>
  <c r="AS271" i="1" s="1"/>
  <c r="AP187" i="1"/>
  <c r="AQ187" i="1" s="1"/>
  <c r="AR187" i="1" s="1"/>
  <c r="AS187" i="1" s="1"/>
  <c r="AP46" i="1"/>
  <c r="AQ46" i="1" s="1"/>
  <c r="AR46" i="1" s="1"/>
  <c r="AS46" i="1" s="1"/>
  <c r="AP192" i="1"/>
  <c r="AQ192" i="1" s="1"/>
  <c r="AR192" i="1" s="1"/>
  <c r="AS192" i="1" s="1"/>
  <c r="AP391" i="1"/>
  <c r="AQ391" i="1" s="1"/>
  <c r="AR391" i="1" s="1"/>
  <c r="AS391" i="1" s="1"/>
  <c r="AP109" i="1"/>
  <c r="AQ109" i="1" s="1"/>
  <c r="AR109" i="1" s="1"/>
  <c r="AS109" i="1" s="1"/>
  <c r="AP66" i="1"/>
  <c r="AQ66" i="1" s="1"/>
  <c r="AR66" i="1" s="1"/>
  <c r="AS66" i="1" s="1"/>
  <c r="AP102" i="1"/>
  <c r="AQ102" i="1" s="1"/>
  <c r="AR102" i="1" s="1"/>
  <c r="AS102" i="1" s="1"/>
  <c r="AP367" i="1"/>
  <c r="AQ367" i="1" s="1"/>
  <c r="AR367" i="1" s="1"/>
  <c r="AS367" i="1" s="1"/>
  <c r="AP244" i="1"/>
  <c r="AQ244" i="1" s="1"/>
  <c r="AR244" i="1" s="1"/>
  <c r="AS244" i="1" s="1"/>
  <c r="AP21" i="1"/>
  <c r="AQ21" i="1" s="1"/>
  <c r="AR21" i="1" s="1"/>
  <c r="AS21" i="1" s="1"/>
  <c r="AP47" i="1"/>
  <c r="AQ47" i="1" s="1"/>
  <c r="AR47" i="1" s="1"/>
  <c r="AS47" i="1" s="1"/>
  <c r="AP153" i="1"/>
  <c r="AQ153" i="1" s="1"/>
  <c r="AR153" i="1" s="1"/>
  <c r="AS153" i="1" s="1"/>
  <c r="AP185" i="1"/>
  <c r="AQ185" i="1" s="1"/>
  <c r="AR185" i="1" s="1"/>
  <c r="AS185" i="1" s="1"/>
  <c r="AP389" i="1"/>
  <c r="AQ389" i="1" s="1"/>
  <c r="AR389" i="1" s="1"/>
  <c r="AS389" i="1" s="1"/>
  <c r="AP118" i="1"/>
  <c r="AQ118" i="1" s="1"/>
  <c r="AR118" i="1" s="1"/>
  <c r="AS118" i="1" s="1"/>
  <c r="AP74" i="1"/>
  <c r="AQ74" i="1" s="1"/>
  <c r="AR74" i="1" s="1"/>
  <c r="AS74" i="1" s="1"/>
  <c r="AP225" i="1"/>
  <c r="AQ225" i="1" s="1"/>
  <c r="AR225" i="1" s="1"/>
  <c r="AS225" i="1" s="1"/>
  <c r="AP253" i="1"/>
  <c r="AQ253" i="1" s="1"/>
  <c r="AR253" i="1" s="1"/>
  <c r="AS253" i="1" s="1"/>
  <c r="AP292" i="1"/>
  <c r="AQ292" i="1" s="1"/>
  <c r="AR292" i="1" s="1"/>
  <c r="AS292" i="1" s="1"/>
  <c r="AP154" i="1"/>
  <c r="AQ154" i="1" s="1"/>
  <c r="AR154" i="1" s="1"/>
  <c r="AS154" i="1" s="1"/>
  <c r="AP119" i="1"/>
  <c r="AQ119" i="1" s="1"/>
  <c r="AR119" i="1" s="1"/>
  <c r="AS119" i="1" s="1"/>
  <c r="AP126" i="1"/>
  <c r="AQ126" i="1" s="1"/>
  <c r="AR126" i="1" s="1"/>
  <c r="AS126" i="1" s="1"/>
  <c r="AP155" i="1"/>
  <c r="AQ155" i="1" s="1"/>
  <c r="AR155" i="1" s="1"/>
  <c r="AS155" i="1" s="1"/>
  <c r="AP43" i="1"/>
  <c r="AQ43" i="1" s="1"/>
  <c r="AR43" i="1" s="1"/>
  <c r="AS43" i="1" s="1"/>
  <c r="AP273" i="1"/>
  <c r="AQ273" i="1" s="1"/>
  <c r="AR273" i="1" s="1"/>
  <c r="AS273" i="1" s="1"/>
  <c r="AP152" i="1"/>
  <c r="AQ152" i="1" s="1"/>
  <c r="AR152" i="1" s="1"/>
  <c r="AS152" i="1" s="1"/>
  <c r="AP397" i="1"/>
  <c r="AQ397" i="1" s="1"/>
  <c r="AR397" i="1" s="1"/>
  <c r="AS397" i="1" s="1"/>
  <c r="AP381" i="1"/>
  <c r="AQ381" i="1" s="1"/>
  <c r="AR381" i="1" s="1"/>
  <c r="AS381" i="1" s="1"/>
  <c r="AP251" i="1"/>
  <c r="AQ251" i="1" s="1"/>
  <c r="AR251" i="1" s="1"/>
  <c r="AS251" i="1" s="1"/>
  <c r="AP228" i="1"/>
  <c r="AQ228" i="1" s="1"/>
  <c r="AR228" i="1" s="1"/>
  <c r="AS228" i="1" s="1"/>
  <c r="AP162" i="1"/>
  <c r="AQ162" i="1" s="1"/>
  <c r="AR162" i="1" s="1"/>
  <c r="AS162" i="1" s="1"/>
  <c r="AP70" i="1"/>
  <c r="AQ70" i="1" s="1"/>
  <c r="AR70" i="1" s="1"/>
  <c r="AS70" i="1" s="1"/>
  <c r="AP123" i="1"/>
  <c r="AQ123" i="1" s="1"/>
  <c r="AR123" i="1" s="1"/>
  <c r="AS123" i="1" s="1"/>
  <c r="AP393" i="1"/>
  <c r="AQ393" i="1" s="1"/>
  <c r="AR393" i="1" s="1"/>
  <c r="AS393" i="1" s="1"/>
  <c r="AP280" i="1"/>
  <c r="AQ280" i="1" s="1"/>
  <c r="AR280" i="1" s="1"/>
  <c r="AS280" i="1" s="1"/>
  <c r="AP222" i="1"/>
  <c r="AQ222" i="1" s="1"/>
  <c r="AR222" i="1" s="1"/>
  <c r="AS222" i="1" s="1"/>
  <c r="AP179" i="1"/>
  <c r="AQ179" i="1" s="1"/>
  <c r="AR179" i="1" s="1"/>
  <c r="AS179" i="1" s="1"/>
  <c r="AP181" i="1"/>
  <c r="AQ181" i="1" s="1"/>
  <c r="AR181" i="1" s="1"/>
  <c r="AS181" i="1" s="1"/>
  <c r="AP352" i="1"/>
  <c r="AQ352" i="1" s="1"/>
  <c r="AR352" i="1" s="1"/>
  <c r="AS352" i="1" s="1"/>
  <c r="AJ3" i="1"/>
  <c r="O31" i="71"/>
  <c r="P31" i="71" s="1"/>
  <c r="O20" i="71"/>
  <c r="P20" i="71" s="1"/>
  <c r="O5" i="71"/>
  <c r="P5" i="71" s="1"/>
  <c r="O9" i="71"/>
  <c r="P9" i="71" s="1"/>
  <c r="O32" i="71"/>
  <c r="P32" i="71" s="1"/>
  <c r="O33" i="71"/>
  <c r="P33" i="71" s="1"/>
  <c r="O30" i="71"/>
  <c r="P30" i="71" s="1"/>
  <c r="O37" i="71"/>
  <c r="P37" i="71" s="1"/>
  <c r="O48" i="71"/>
  <c r="P48" i="71" s="1"/>
  <c r="O42" i="71"/>
  <c r="P42" i="71" s="1"/>
  <c r="O46" i="71"/>
  <c r="P46" i="71" s="1"/>
  <c r="O34" i="71"/>
  <c r="P34" i="71" s="1"/>
  <c r="O10" i="71"/>
  <c r="P10" i="71" s="1"/>
  <c r="O13" i="71"/>
  <c r="P13" i="71" s="1"/>
  <c r="O16" i="71"/>
  <c r="P16" i="71" s="1"/>
  <c r="O21" i="71"/>
  <c r="P21" i="71" s="1"/>
  <c r="M3" i="71"/>
  <c r="N3" i="71"/>
  <c r="S125" i="170" l="1"/>
  <c r="AO145" i="1" s="1"/>
  <c r="S325" i="170"/>
  <c r="AO259" i="1" s="1"/>
  <c r="X352" i="170"/>
  <c r="S360" i="170"/>
  <c r="AO208" i="1" s="1"/>
  <c r="X296" i="170"/>
  <c r="Q349" i="170"/>
  <c r="S361" i="170"/>
  <c r="AO257" i="1" s="1"/>
  <c r="X361" i="170"/>
  <c r="S123" i="170"/>
  <c r="AO240" i="1" s="1"/>
  <c r="X197" i="170"/>
  <c r="S326" i="170"/>
  <c r="AO362" i="1" s="1"/>
  <c r="AP362" i="1" s="1"/>
  <c r="AQ362" i="1" s="1"/>
  <c r="AR362" i="1" s="1"/>
  <c r="AS362" i="1" s="1"/>
  <c r="S106" i="170"/>
  <c r="AO177" i="1" s="1"/>
  <c r="X297" i="170"/>
  <c r="X119" i="170"/>
  <c r="X123" i="170"/>
  <c r="S19" i="170"/>
  <c r="AO346" i="1" s="1"/>
  <c r="AP346" i="1" s="1"/>
  <c r="AQ346" i="1" s="1"/>
  <c r="AR346" i="1" s="1"/>
  <c r="AS346" i="1" s="1"/>
  <c r="S197" i="170"/>
  <c r="AO375" i="1" s="1"/>
  <c r="AP375" i="1" s="1"/>
  <c r="AQ375" i="1" s="1"/>
  <c r="AR375" i="1" s="1"/>
  <c r="AS375" i="1" s="1"/>
  <c r="Q350" i="170"/>
  <c r="X360" i="170"/>
  <c r="S293" i="170"/>
  <c r="AO175" i="1" s="1"/>
  <c r="AP175" i="1" s="1"/>
  <c r="AQ175" i="1" s="1"/>
  <c r="AR175" i="1" s="1"/>
  <c r="AS175" i="1" s="1"/>
  <c r="Q357" i="170"/>
  <c r="S322" i="170"/>
  <c r="AO29" i="1" s="1"/>
  <c r="AP29" i="1" s="1"/>
  <c r="AQ29" i="1" s="1"/>
  <c r="AR29" i="1" s="1"/>
  <c r="AS29" i="1" s="1"/>
  <c r="S119" i="170"/>
  <c r="AO167" i="1" s="1"/>
  <c r="X125" i="170"/>
  <c r="S352" i="170"/>
  <c r="AO73" i="1" s="1"/>
  <c r="X322" i="170"/>
  <c r="Q364" i="170"/>
  <c r="AP92" i="1"/>
  <c r="AQ92" i="1" s="1"/>
  <c r="AR92" i="1" s="1"/>
  <c r="AS92" i="1" s="1"/>
  <c r="AP127" i="1"/>
  <c r="AQ127" i="1" s="1"/>
  <c r="AR127" i="1" s="1"/>
  <c r="AS127" i="1" s="1"/>
  <c r="S319" i="170"/>
  <c r="AO374" i="1" s="1"/>
  <c r="AP374" i="1" s="1"/>
  <c r="AQ374" i="1" s="1"/>
  <c r="AR374" i="1" s="1"/>
  <c r="AS374" i="1" s="1"/>
  <c r="X135" i="170"/>
  <c r="Q316" i="170"/>
  <c r="X76" i="170"/>
  <c r="X95" i="170"/>
  <c r="S140" i="170"/>
  <c r="AO81" i="1" s="1"/>
  <c r="AP81" i="1" s="1"/>
  <c r="AQ81" i="1" s="1"/>
  <c r="AR81" i="1" s="1"/>
  <c r="AS81" i="1" s="1"/>
  <c r="S297" i="170"/>
  <c r="AO19" i="1" s="1"/>
  <c r="AP19" i="1" s="1"/>
  <c r="AQ19" i="1" s="1"/>
  <c r="AR19" i="1" s="1"/>
  <c r="AS19" i="1" s="1"/>
  <c r="AP332" i="1"/>
  <c r="AQ332" i="1" s="1"/>
  <c r="AR332" i="1" s="1"/>
  <c r="AS332" i="1" s="1"/>
  <c r="AP282" i="1"/>
  <c r="AQ282" i="1" s="1"/>
  <c r="AR282" i="1" s="1"/>
  <c r="AS282" i="1" s="1"/>
  <c r="X268" i="170"/>
  <c r="X318" i="170"/>
  <c r="S256" i="170"/>
  <c r="AO193" i="1" s="1"/>
  <c r="AP193" i="1" s="1"/>
  <c r="AQ193" i="1" s="1"/>
  <c r="AR193" i="1" s="1"/>
  <c r="AS193" i="1" s="1"/>
  <c r="S195" i="170"/>
  <c r="AO87" i="1" s="1"/>
  <c r="AP87" i="1" s="1"/>
  <c r="AQ87" i="1" s="1"/>
  <c r="AR87" i="1" s="1"/>
  <c r="AS87" i="1" s="1"/>
  <c r="S362" i="170"/>
  <c r="AO226" i="1" s="1"/>
  <c r="AP226" i="1" s="1"/>
  <c r="AQ226" i="1" s="1"/>
  <c r="AR226" i="1" s="1"/>
  <c r="AS226" i="1" s="1"/>
  <c r="S23" i="170"/>
  <c r="AO50" i="1" s="1"/>
  <c r="AP50" i="1" s="1"/>
  <c r="AQ50" i="1" s="1"/>
  <c r="AR50" i="1" s="1"/>
  <c r="AS50" i="1" s="1"/>
  <c r="S120" i="170"/>
  <c r="AO178" i="1" s="1"/>
  <c r="AP178" i="1" s="1"/>
  <c r="AQ178" i="1" s="1"/>
  <c r="AR178" i="1" s="1"/>
  <c r="AS178" i="1" s="1"/>
  <c r="S94" i="170"/>
  <c r="AO173" i="1" s="1"/>
  <c r="AP173" i="1" s="1"/>
  <c r="AQ173" i="1" s="1"/>
  <c r="AR173" i="1" s="1"/>
  <c r="AS173" i="1" s="1"/>
  <c r="S102" i="170"/>
  <c r="AO232" i="1" s="1"/>
  <c r="AP232" i="1" s="1"/>
  <c r="AQ232" i="1" s="1"/>
  <c r="AR232" i="1" s="1"/>
  <c r="AS232" i="1" s="1"/>
  <c r="S268" i="170"/>
  <c r="AO337" i="1" s="1"/>
  <c r="AP337" i="1" s="1"/>
  <c r="AQ337" i="1" s="1"/>
  <c r="AR337" i="1" s="1"/>
  <c r="AS337" i="1" s="1"/>
  <c r="X211" i="170"/>
  <c r="S213" i="170"/>
  <c r="AO335" i="1" s="1"/>
  <c r="AP335" i="1" s="1"/>
  <c r="AQ335" i="1" s="1"/>
  <c r="AR335" i="1" s="1"/>
  <c r="AS335" i="1" s="1"/>
  <c r="X102" i="170"/>
  <c r="Q278" i="170"/>
  <c r="X213" i="170"/>
  <c r="Q253" i="170"/>
  <c r="Q120" i="170"/>
  <c r="S99" i="170"/>
  <c r="AO172" i="1" s="1"/>
  <c r="AP172" i="1" s="1"/>
  <c r="AQ172" i="1" s="1"/>
  <c r="AR172" i="1" s="1"/>
  <c r="AS172" i="1" s="1"/>
  <c r="X94" i="170"/>
  <c r="X99" i="170"/>
  <c r="S211" i="170"/>
  <c r="AO379" i="1" s="1"/>
  <c r="AP379" i="1" s="1"/>
  <c r="AQ379" i="1" s="1"/>
  <c r="AR379" i="1" s="1"/>
  <c r="AS379" i="1" s="1"/>
  <c r="AP132" i="1"/>
  <c r="AQ132" i="1" s="1"/>
  <c r="AR132" i="1" s="1"/>
  <c r="AS132" i="1" s="1"/>
  <c r="S273" i="170"/>
  <c r="AO377" i="1" s="1"/>
  <c r="AP377" i="1" s="1"/>
  <c r="AQ377" i="1" s="1"/>
  <c r="AR377" i="1" s="1"/>
  <c r="AS377" i="1" s="1"/>
  <c r="S95" i="170"/>
  <c r="AO309" i="1" s="1"/>
  <c r="AP309" i="1" s="1"/>
  <c r="AQ309" i="1" s="1"/>
  <c r="AR309" i="1" s="1"/>
  <c r="AS309" i="1" s="1"/>
  <c r="Q324" i="170"/>
  <c r="S180" i="170"/>
  <c r="AO156" i="1" s="1"/>
  <c r="AP156" i="1" s="1"/>
  <c r="AQ156" i="1" s="1"/>
  <c r="AR156" i="1" s="1"/>
  <c r="AS156" i="1" s="1"/>
  <c r="AP305" i="1"/>
  <c r="AQ305" i="1" s="1"/>
  <c r="AR305" i="1" s="1"/>
  <c r="AS305" i="1" s="1"/>
  <c r="X166" i="170"/>
  <c r="S136" i="170"/>
  <c r="AO347" i="1" s="1"/>
  <c r="AP347" i="1" s="1"/>
  <c r="AQ347" i="1" s="1"/>
  <c r="AR347" i="1" s="1"/>
  <c r="AS347" i="1" s="1"/>
  <c r="X320" i="170"/>
  <c r="S294" i="170"/>
  <c r="AO48" i="1" s="1"/>
  <c r="AP48" i="1" s="1"/>
  <c r="AQ48" i="1" s="1"/>
  <c r="AR48" i="1" s="1"/>
  <c r="AS48" i="1" s="1"/>
  <c r="X136" i="170"/>
  <c r="X228" i="170"/>
  <c r="S265" i="170"/>
  <c r="AO329" i="1" s="1"/>
  <c r="AP329" i="1" s="1"/>
  <c r="AQ329" i="1" s="1"/>
  <c r="AR329" i="1" s="1"/>
  <c r="AS329" i="1" s="1"/>
  <c r="S339" i="170"/>
  <c r="AO218" i="1" s="1"/>
  <c r="AP218" i="1" s="1"/>
  <c r="AQ218" i="1" s="1"/>
  <c r="AR218" i="1" s="1"/>
  <c r="AS218" i="1" s="1"/>
  <c r="Q211" i="170"/>
  <c r="X293" i="170"/>
  <c r="X339" i="170"/>
  <c r="X180" i="170"/>
  <c r="S228" i="170"/>
  <c r="AO86" i="1" s="1"/>
  <c r="X265" i="170"/>
  <c r="X363" i="170"/>
  <c r="X140" i="170"/>
  <c r="X294" i="170"/>
  <c r="X170" i="170"/>
  <c r="S186" i="170"/>
  <c r="AO318" i="1" s="1"/>
  <c r="AP318" i="1" s="1"/>
  <c r="AQ318" i="1" s="1"/>
  <c r="AR318" i="1" s="1"/>
  <c r="AS318" i="1" s="1"/>
  <c r="S254" i="170"/>
  <c r="AO300" i="1" s="1"/>
  <c r="AP300" i="1" s="1"/>
  <c r="AQ300" i="1" s="1"/>
  <c r="AR300" i="1" s="1"/>
  <c r="AS300" i="1" s="1"/>
  <c r="X178" i="170"/>
  <c r="X115" i="170"/>
  <c r="S14" i="170"/>
  <c r="AO215" i="1" s="1"/>
  <c r="AP215" i="1" s="1"/>
  <c r="AQ215" i="1" s="1"/>
  <c r="AR215" i="1" s="1"/>
  <c r="AS215" i="1" s="1"/>
  <c r="X14" i="170"/>
  <c r="X111" i="170"/>
  <c r="Q116" i="170"/>
  <c r="R138" i="170"/>
  <c r="X183" i="170"/>
  <c r="X126" i="170"/>
  <c r="S129" i="170"/>
  <c r="AO302" i="1" s="1"/>
  <c r="AP302" i="1" s="1"/>
  <c r="AQ302" i="1" s="1"/>
  <c r="AR302" i="1" s="1"/>
  <c r="AS302" i="1" s="1"/>
  <c r="S318" i="170"/>
  <c r="AO256" i="1" s="1"/>
  <c r="AP256" i="1" s="1"/>
  <c r="AQ256" i="1" s="1"/>
  <c r="AR256" i="1" s="1"/>
  <c r="AS256" i="1" s="1"/>
  <c r="X341" i="170"/>
  <c r="X257" i="170"/>
  <c r="S115" i="170"/>
  <c r="AO196" i="1" s="1"/>
  <c r="AP196" i="1" s="1"/>
  <c r="AQ196" i="1" s="1"/>
  <c r="AR196" i="1" s="1"/>
  <c r="AS196" i="1" s="1"/>
  <c r="X179" i="170"/>
  <c r="S341" i="170"/>
  <c r="AO317" i="1" s="1"/>
  <c r="AP317" i="1" s="1"/>
  <c r="AQ317" i="1" s="1"/>
  <c r="AR317" i="1" s="1"/>
  <c r="AS317" i="1" s="1"/>
  <c r="X256" i="170"/>
  <c r="S257" i="170"/>
  <c r="AO137" i="1" s="1"/>
  <c r="AP137" i="1" s="1"/>
  <c r="AQ137" i="1" s="1"/>
  <c r="AR137" i="1" s="1"/>
  <c r="AS137" i="1" s="1"/>
  <c r="S111" i="170"/>
  <c r="AO234" i="1" s="1"/>
  <c r="AP234" i="1" s="1"/>
  <c r="AQ234" i="1" s="1"/>
  <c r="AR234" i="1" s="1"/>
  <c r="AS234" i="1" s="1"/>
  <c r="S183" i="170"/>
  <c r="AO180" i="1" s="1"/>
  <c r="AP180" i="1" s="1"/>
  <c r="AQ180" i="1" s="1"/>
  <c r="AR180" i="1" s="1"/>
  <c r="AS180" i="1" s="1"/>
  <c r="X190" i="170"/>
  <c r="Q356" i="170"/>
  <c r="X17" i="170"/>
  <c r="S126" i="170"/>
  <c r="AO242" i="1" s="1"/>
  <c r="AP242" i="1" s="1"/>
  <c r="AQ242" i="1" s="1"/>
  <c r="AR242" i="1" s="1"/>
  <c r="AS242" i="1" s="1"/>
  <c r="AP146" i="1"/>
  <c r="AQ146" i="1" s="1"/>
  <c r="AR146" i="1" s="1"/>
  <c r="AS146" i="1" s="1"/>
  <c r="S320" i="170"/>
  <c r="AO370" i="1" s="1"/>
  <c r="AP370" i="1" s="1"/>
  <c r="AQ370" i="1" s="1"/>
  <c r="AR370" i="1" s="1"/>
  <c r="AS370" i="1" s="1"/>
  <c r="Q169" i="170"/>
  <c r="S178" i="170"/>
  <c r="AO26" i="1" s="1"/>
  <c r="AP26" i="1" s="1"/>
  <c r="AQ26" i="1" s="1"/>
  <c r="AR26" i="1" s="1"/>
  <c r="AS26" i="1" s="1"/>
  <c r="AP259" i="1"/>
  <c r="AQ259" i="1" s="1"/>
  <c r="AR259" i="1" s="1"/>
  <c r="AS259" i="1" s="1"/>
  <c r="S98" i="170"/>
  <c r="AO238" i="1" s="1"/>
  <c r="AP238" i="1" s="1"/>
  <c r="AQ238" i="1" s="1"/>
  <c r="AR238" i="1" s="1"/>
  <c r="AS238" i="1" s="1"/>
  <c r="S338" i="170"/>
  <c r="AO77" i="1" s="1"/>
  <c r="AP77" i="1" s="1"/>
  <c r="AQ77" i="1" s="1"/>
  <c r="AR77" i="1" s="1"/>
  <c r="AS77" i="1" s="1"/>
  <c r="X80" i="170"/>
  <c r="X78" i="170"/>
  <c r="X319" i="170"/>
  <c r="X23" i="170"/>
  <c r="X338" i="170"/>
  <c r="S355" i="170"/>
  <c r="AO207" i="1" s="1"/>
  <c r="AP207" i="1" s="1"/>
  <c r="AQ207" i="1" s="1"/>
  <c r="AR207" i="1" s="1"/>
  <c r="AS207" i="1" s="1"/>
  <c r="S78" i="170"/>
  <c r="AO336" i="1" s="1"/>
  <c r="AP336" i="1" s="1"/>
  <c r="AQ336" i="1" s="1"/>
  <c r="AR336" i="1" s="1"/>
  <c r="AS336" i="1" s="1"/>
  <c r="X301" i="170"/>
  <c r="X75" i="170"/>
  <c r="X266" i="170"/>
  <c r="X98" i="170"/>
  <c r="AP141" i="1"/>
  <c r="AQ141" i="1" s="1"/>
  <c r="AR141" i="1" s="1"/>
  <c r="AS141" i="1" s="1"/>
  <c r="S80" i="170"/>
  <c r="AO339" i="1" s="1"/>
  <c r="AP339" i="1" s="1"/>
  <c r="AQ339" i="1" s="1"/>
  <c r="AR339" i="1" s="1"/>
  <c r="AS339" i="1" s="1"/>
  <c r="S314" i="170"/>
  <c r="AO351" i="1" s="1"/>
  <c r="AP351" i="1" s="1"/>
  <c r="AQ351" i="1" s="1"/>
  <c r="AR351" i="1" s="1"/>
  <c r="AS351" i="1" s="1"/>
  <c r="X355" i="170"/>
  <c r="S301" i="170"/>
  <c r="AO334" i="1" s="1"/>
  <c r="AP334" i="1" s="1"/>
  <c r="AQ334" i="1" s="1"/>
  <c r="AR334" i="1" s="1"/>
  <c r="AS334" i="1" s="1"/>
  <c r="S266" i="170"/>
  <c r="AO20" i="1" s="1"/>
  <c r="AP20" i="1" s="1"/>
  <c r="AQ20" i="1" s="1"/>
  <c r="AR20" i="1" s="1"/>
  <c r="AS20" i="1" s="1"/>
  <c r="Q285" i="170"/>
  <c r="X362" i="170"/>
  <c r="S76" i="170"/>
  <c r="AO281" i="1" s="1"/>
  <c r="AP281" i="1" s="1"/>
  <c r="AQ281" i="1" s="1"/>
  <c r="AR281" i="1" s="1"/>
  <c r="AS281" i="1" s="1"/>
  <c r="S344" i="170"/>
  <c r="AO224" i="1" s="1"/>
  <c r="AP224" i="1" s="1"/>
  <c r="AQ224" i="1" s="1"/>
  <c r="AR224" i="1" s="1"/>
  <c r="AS224" i="1" s="1"/>
  <c r="X195" i="170"/>
  <c r="S138" i="170"/>
  <c r="AO13" i="1" s="1"/>
  <c r="X258" i="170"/>
  <c r="S298" i="170"/>
  <c r="AO44" i="1" s="1"/>
  <c r="AP44" i="1" s="1"/>
  <c r="AQ44" i="1" s="1"/>
  <c r="AR44" i="1" s="1"/>
  <c r="AS44" i="1" s="1"/>
  <c r="S223" i="170"/>
  <c r="AO265" i="1" s="1"/>
  <c r="AP265" i="1" s="1"/>
  <c r="AQ265" i="1" s="1"/>
  <c r="AR265" i="1" s="1"/>
  <c r="AS265" i="1" s="1"/>
  <c r="S187" i="170"/>
  <c r="AO252" i="1" s="1"/>
  <c r="AP252" i="1" s="1"/>
  <c r="AQ252" i="1" s="1"/>
  <c r="AR252" i="1" s="1"/>
  <c r="AS252" i="1" s="1"/>
  <c r="S221" i="170"/>
  <c r="AO136" i="1" s="1"/>
  <c r="AP136" i="1" s="1"/>
  <c r="AQ136" i="1" s="1"/>
  <c r="AR136" i="1" s="1"/>
  <c r="AS136" i="1" s="1"/>
  <c r="AP35" i="1"/>
  <c r="AQ35" i="1" s="1"/>
  <c r="AR35" i="1" s="1"/>
  <c r="AS35" i="1" s="1"/>
  <c r="S17" i="170"/>
  <c r="AO345" i="1" s="1"/>
  <c r="AP345" i="1" s="1"/>
  <c r="AQ345" i="1" s="1"/>
  <c r="AR345" i="1" s="1"/>
  <c r="AS345" i="1" s="1"/>
  <c r="S215" i="170"/>
  <c r="AO380" i="1" s="1"/>
  <c r="AP380" i="1" s="1"/>
  <c r="AQ380" i="1" s="1"/>
  <c r="AR380" i="1" s="1"/>
  <c r="AS380" i="1" s="1"/>
  <c r="X117" i="170"/>
  <c r="S258" i="170"/>
  <c r="AO233" i="1" s="1"/>
  <c r="AP233" i="1" s="1"/>
  <c r="AQ233" i="1" s="1"/>
  <c r="AR233" i="1" s="1"/>
  <c r="AS233" i="1" s="1"/>
  <c r="Q345" i="170"/>
  <c r="X292" i="170"/>
  <c r="S170" i="170"/>
  <c r="AO376" i="1" s="1"/>
  <c r="AP376" i="1" s="1"/>
  <c r="AQ376" i="1" s="1"/>
  <c r="AR376" i="1" s="1"/>
  <c r="AS376" i="1" s="1"/>
  <c r="Q284" i="170"/>
  <c r="Q21" i="170"/>
  <c r="X218" i="170"/>
  <c r="X260" i="170"/>
  <c r="Q171" i="170"/>
  <c r="S342" i="170"/>
  <c r="AO115" i="1" s="1"/>
  <c r="AP115" i="1" s="1"/>
  <c r="AQ115" i="1" s="1"/>
  <c r="AR115" i="1" s="1"/>
  <c r="AS115" i="1" s="1"/>
  <c r="X221" i="170"/>
  <c r="X342" i="170"/>
  <c r="Q186" i="170"/>
  <c r="X326" i="170"/>
  <c r="X279" i="170"/>
  <c r="X106" i="170"/>
  <c r="S279" i="170"/>
  <c r="AO174" i="1" s="1"/>
  <c r="AP174" i="1" s="1"/>
  <c r="AQ174" i="1" s="1"/>
  <c r="AR174" i="1" s="1"/>
  <c r="AS174" i="1" s="1"/>
  <c r="S296" i="170"/>
  <c r="AO349" i="1" s="1"/>
  <c r="AP349" i="1" s="1"/>
  <c r="AQ349" i="1" s="1"/>
  <c r="AR349" i="1" s="1"/>
  <c r="AS349" i="1" s="1"/>
  <c r="S260" i="170"/>
  <c r="AO382" i="1" s="1"/>
  <c r="AP382" i="1" s="1"/>
  <c r="AQ382" i="1" s="1"/>
  <c r="AR382" i="1" s="1"/>
  <c r="AS382" i="1" s="1"/>
  <c r="X96" i="170"/>
  <c r="S96" i="170"/>
  <c r="AO165" i="1" s="1"/>
  <c r="AP165" i="1" s="1"/>
  <c r="AQ165" i="1" s="1"/>
  <c r="AR165" i="1" s="1"/>
  <c r="AS165" i="1" s="1"/>
  <c r="X141" i="170"/>
  <c r="S97" i="170"/>
  <c r="AO166" i="1" s="1"/>
  <c r="AP166" i="1" s="1"/>
  <c r="AQ166" i="1" s="1"/>
  <c r="AR166" i="1" s="1"/>
  <c r="AS166" i="1" s="1"/>
  <c r="X346" i="170"/>
  <c r="X118" i="170"/>
  <c r="X100" i="170"/>
  <c r="S188" i="170"/>
  <c r="AO203" i="1" s="1"/>
  <c r="AP203" i="1" s="1"/>
  <c r="AQ203" i="1" s="1"/>
  <c r="AR203" i="1" s="1"/>
  <c r="AS203" i="1" s="1"/>
  <c r="S346" i="170"/>
  <c r="AO71" i="1" s="1"/>
  <c r="AP71" i="1" s="1"/>
  <c r="AQ71" i="1" s="1"/>
  <c r="AR71" i="1" s="1"/>
  <c r="AS71" i="1" s="1"/>
  <c r="X358" i="170"/>
  <c r="S224" i="170"/>
  <c r="AO190" i="1" s="1"/>
  <c r="AP190" i="1" s="1"/>
  <c r="AQ190" i="1" s="1"/>
  <c r="AR190" i="1" s="1"/>
  <c r="AS190" i="1" s="1"/>
  <c r="S101" i="170"/>
  <c r="AO176" i="1" s="1"/>
  <c r="AP176" i="1" s="1"/>
  <c r="AQ176" i="1" s="1"/>
  <c r="AR176" i="1" s="1"/>
  <c r="AS176" i="1" s="1"/>
  <c r="S181" i="170"/>
  <c r="AO319" i="1" s="1"/>
  <c r="AP319" i="1" s="1"/>
  <c r="AQ319" i="1" s="1"/>
  <c r="AR319" i="1" s="1"/>
  <c r="AS319" i="1" s="1"/>
  <c r="S358" i="170"/>
  <c r="AO104" i="1" s="1"/>
  <c r="AP104" i="1" s="1"/>
  <c r="AQ104" i="1" s="1"/>
  <c r="AR104" i="1" s="1"/>
  <c r="AS104" i="1" s="1"/>
  <c r="S363" i="170"/>
  <c r="AO97" i="1" s="1"/>
  <c r="AP97" i="1" s="1"/>
  <c r="AQ97" i="1" s="1"/>
  <c r="AR97" i="1" s="1"/>
  <c r="AS97" i="1" s="1"/>
  <c r="S75" i="170"/>
  <c r="AO338" i="1" s="1"/>
  <c r="AP338" i="1" s="1"/>
  <c r="AQ338" i="1" s="1"/>
  <c r="AR338" i="1" s="1"/>
  <c r="AS338" i="1" s="1"/>
  <c r="S306" i="170"/>
  <c r="AO322" i="1" s="1"/>
  <c r="X97" i="170"/>
  <c r="S141" i="170"/>
  <c r="AO360" i="1" s="1"/>
  <c r="AP360" i="1" s="1"/>
  <c r="AQ360" i="1" s="1"/>
  <c r="AR360" i="1" s="1"/>
  <c r="AS360" i="1" s="1"/>
  <c r="X306" i="170"/>
  <c r="S191" i="170"/>
  <c r="AO371" i="1" s="1"/>
  <c r="AP371" i="1" s="1"/>
  <c r="AQ371" i="1" s="1"/>
  <c r="AR371" i="1" s="1"/>
  <c r="AS371" i="1" s="1"/>
  <c r="X215" i="170"/>
  <c r="X101" i="170"/>
  <c r="S118" i="170"/>
  <c r="AO304" i="1" s="1"/>
  <c r="AP304" i="1" s="1"/>
  <c r="AQ304" i="1" s="1"/>
  <c r="AR304" i="1" s="1"/>
  <c r="AS304" i="1" s="1"/>
  <c r="X189" i="170"/>
  <c r="S189" i="170"/>
  <c r="AO324" i="1" s="1"/>
  <c r="AP324" i="1" s="1"/>
  <c r="AQ324" i="1" s="1"/>
  <c r="AR324" i="1" s="1"/>
  <c r="AS324" i="1" s="1"/>
  <c r="Q214" i="170"/>
  <c r="X224" i="170"/>
  <c r="S227" i="170"/>
  <c r="AO139" i="1" s="1"/>
  <c r="AP139" i="1" s="1"/>
  <c r="AQ139" i="1" s="1"/>
  <c r="AR139" i="1" s="1"/>
  <c r="AS139" i="1" s="1"/>
  <c r="X230" i="170"/>
  <c r="X16" i="170"/>
  <c r="S299" i="170"/>
  <c r="AO57" i="1" s="1"/>
  <c r="AP57" i="1" s="1"/>
  <c r="AQ57" i="1" s="1"/>
  <c r="AR57" i="1" s="1"/>
  <c r="AS57" i="1" s="1"/>
  <c r="X299" i="170"/>
  <c r="X79" i="170"/>
  <c r="S79" i="170"/>
  <c r="AO243" i="1" s="1"/>
  <c r="AP243" i="1" s="1"/>
  <c r="AQ243" i="1" s="1"/>
  <c r="AR243" i="1" s="1"/>
  <c r="AS243" i="1" s="1"/>
  <c r="X181" i="170"/>
  <c r="S308" i="170"/>
  <c r="AO76" i="1" s="1"/>
  <c r="AP76" i="1" s="1"/>
  <c r="AQ76" i="1" s="1"/>
  <c r="AR76" i="1" s="1"/>
  <c r="AS76" i="1" s="1"/>
  <c r="S112" i="170"/>
  <c r="AO171" i="1" s="1"/>
  <c r="AP171" i="1" s="1"/>
  <c r="AQ171" i="1" s="1"/>
  <c r="AR171" i="1" s="1"/>
  <c r="AS171" i="1" s="1"/>
  <c r="X103" i="170"/>
  <c r="Q107" i="170"/>
  <c r="S286" i="170"/>
  <c r="AO333" i="1" s="1"/>
  <c r="AP333" i="1" s="1"/>
  <c r="AQ333" i="1" s="1"/>
  <c r="AR333" i="1" s="1"/>
  <c r="AS333" i="1" s="1"/>
  <c r="S103" i="170"/>
  <c r="AO144" i="1" s="1"/>
  <c r="AP144" i="1" s="1"/>
  <c r="AQ144" i="1" s="1"/>
  <c r="AR144" i="1" s="1"/>
  <c r="AS144" i="1" s="1"/>
  <c r="X10" i="170"/>
  <c r="S230" i="170"/>
  <c r="AO264" i="1" s="1"/>
  <c r="AP264" i="1" s="1"/>
  <c r="AQ264" i="1" s="1"/>
  <c r="AR264" i="1" s="1"/>
  <c r="AS264" i="1" s="1"/>
  <c r="X309" i="170"/>
  <c r="X286" i="170"/>
  <c r="AP387" i="1"/>
  <c r="AQ387" i="1" s="1"/>
  <c r="AR387" i="1" s="1"/>
  <c r="AS387" i="1" s="1"/>
  <c r="S263" i="170"/>
  <c r="AO320" i="1" s="1"/>
  <c r="AP320" i="1" s="1"/>
  <c r="AQ320" i="1" s="1"/>
  <c r="AR320" i="1" s="1"/>
  <c r="AS320" i="1" s="1"/>
  <c r="X263" i="170"/>
  <c r="X217" i="170"/>
  <c r="S217" i="170"/>
  <c r="AO138" i="1" s="1"/>
  <c r="AP138" i="1" s="1"/>
  <c r="AQ138" i="1" s="1"/>
  <c r="AR138" i="1" s="1"/>
  <c r="AS138" i="1" s="1"/>
  <c r="X291" i="170"/>
  <c r="S275" i="170"/>
  <c r="AO134" i="1" s="1"/>
  <c r="AP134" i="1" s="1"/>
  <c r="AQ134" i="1" s="1"/>
  <c r="AR134" i="1" s="1"/>
  <c r="AS134" i="1" s="1"/>
  <c r="S291" i="170"/>
  <c r="AO283" i="1" s="1"/>
  <c r="AP283" i="1" s="1"/>
  <c r="AQ283" i="1" s="1"/>
  <c r="AR283" i="1" s="1"/>
  <c r="AS283" i="1" s="1"/>
  <c r="X121" i="170"/>
  <c r="Q276" i="170"/>
  <c r="S347" i="170"/>
  <c r="AO326" i="1" s="1"/>
  <c r="AP326" i="1" s="1"/>
  <c r="AQ326" i="1" s="1"/>
  <c r="AR326" i="1" s="1"/>
  <c r="AS326" i="1" s="1"/>
  <c r="S121" i="170"/>
  <c r="AO169" i="1" s="1"/>
  <c r="AP169" i="1" s="1"/>
  <c r="AQ169" i="1" s="1"/>
  <c r="AR169" i="1" s="1"/>
  <c r="AS169" i="1" s="1"/>
  <c r="S348" i="170"/>
  <c r="AO78" i="1" s="1"/>
  <c r="AP78" i="1" s="1"/>
  <c r="AQ78" i="1" s="1"/>
  <c r="AR78" i="1" s="1"/>
  <c r="AS78" i="1" s="1"/>
  <c r="X347" i="170"/>
  <c r="S269" i="170"/>
  <c r="AO191" i="1" s="1"/>
  <c r="AP191" i="1" s="1"/>
  <c r="AQ191" i="1" s="1"/>
  <c r="AR191" i="1" s="1"/>
  <c r="AS191" i="1" s="1"/>
  <c r="X307" i="170"/>
  <c r="S143" i="170"/>
  <c r="AO83" i="1" s="1"/>
  <c r="AP83" i="1" s="1"/>
  <c r="AQ83" i="1" s="1"/>
  <c r="AR83" i="1" s="1"/>
  <c r="AS83" i="1" s="1"/>
  <c r="X144" i="170"/>
  <c r="S144" i="170"/>
  <c r="AO18" i="1" s="1"/>
  <c r="S307" i="170"/>
  <c r="AO245" i="1" s="1"/>
  <c r="AP245" i="1" s="1"/>
  <c r="AQ245" i="1" s="1"/>
  <c r="AR245" i="1" s="1"/>
  <c r="AS245" i="1" s="1"/>
  <c r="X267" i="170"/>
  <c r="S259" i="170"/>
  <c r="AO56" i="1" s="1"/>
  <c r="AP56" i="1" s="1"/>
  <c r="AQ56" i="1" s="1"/>
  <c r="AR56" i="1" s="1"/>
  <c r="AS56" i="1" s="1"/>
  <c r="X143" i="170"/>
  <c r="S267" i="170"/>
  <c r="AO285" i="1" s="1"/>
  <c r="AP285" i="1" s="1"/>
  <c r="AQ285" i="1" s="1"/>
  <c r="AR285" i="1" s="1"/>
  <c r="AS285" i="1" s="1"/>
  <c r="X259" i="170"/>
  <c r="S218" i="170"/>
  <c r="AO199" i="1" s="1"/>
  <c r="AP199" i="1" s="1"/>
  <c r="AQ199" i="1" s="1"/>
  <c r="AR199" i="1" s="1"/>
  <c r="AS199" i="1" s="1"/>
  <c r="S117" i="170"/>
  <c r="AO303" i="1" s="1"/>
  <c r="AP303" i="1" s="1"/>
  <c r="AQ303" i="1" s="1"/>
  <c r="AR303" i="1" s="1"/>
  <c r="AS303" i="1" s="1"/>
  <c r="X269" i="170"/>
  <c r="Q192" i="170"/>
  <c r="S309" i="170"/>
  <c r="AO55" i="1" s="1"/>
  <c r="AP55" i="1" s="1"/>
  <c r="AQ55" i="1" s="1"/>
  <c r="AR55" i="1" s="1"/>
  <c r="AS55" i="1" s="1"/>
  <c r="S128" i="170"/>
  <c r="AO198" i="1" s="1"/>
  <c r="AP198" i="1" s="1"/>
  <c r="AQ198" i="1" s="1"/>
  <c r="AR198" i="1" s="1"/>
  <c r="AS198" i="1" s="1"/>
  <c r="AP240" i="1"/>
  <c r="AQ240" i="1" s="1"/>
  <c r="AR240" i="1" s="1"/>
  <c r="AS240" i="1" s="1"/>
  <c r="X9" i="170"/>
  <c r="X210" i="170"/>
  <c r="X271" i="170"/>
  <c r="S271" i="170"/>
  <c r="AO341" i="1" s="1"/>
  <c r="AP341" i="1" s="1"/>
  <c r="AQ341" i="1" s="1"/>
  <c r="AR341" i="1" s="1"/>
  <c r="AS341" i="1" s="1"/>
  <c r="AP378" i="1"/>
  <c r="AQ378" i="1" s="1"/>
  <c r="AR378" i="1" s="1"/>
  <c r="AS378" i="1" s="1"/>
  <c r="X128" i="170"/>
  <c r="S9" i="170"/>
  <c r="AO216" i="1" s="1"/>
  <c r="AP216" i="1" s="1"/>
  <c r="AQ216" i="1" s="1"/>
  <c r="AR216" i="1" s="1"/>
  <c r="AS216" i="1" s="1"/>
  <c r="S210" i="170"/>
  <c r="AO262" i="1" s="1"/>
  <c r="AP262" i="1" s="1"/>
  <c r="AQ262" i="1" s="1"/>
  <c r="AR262" i="1" s="1"/>
  <c r="AS262" i="1" s="1"/>
  <c r="X334" i="170"/>
  <c r="X177" i="170"/>
  <c r="Q311" i="170"/>
  <c r="X15" i="170"/>
  <c r="X275" i="170"/>
  <c r="S142" i="170"/>
  <c r="AO168" i="1" s="1"/>
  <c r="AP168" i="1" s="1"/>
  <c r="AQ168" i="1" s="1"/>
  <c r="AR168" i="1" s="1"/>
  <c r="AS168" i="1" s="1"/>
  <c r="S20" i="170"/>
  <c r="AO217" i="1" s="1"/>
  <c r="AP217" i="1" s="1"/>
  <c r="AQ217" i="1" s="1"/>
  <c r="AR217" i="1" s="1"/>
  <c r="AS217" i="1" s="1"/>
  <c r="S104" i="170"/>
  <c r="AO195" i="1" s="1"/>
  <c r="AP195" i="1" s="1"/>
  <c r="AQ195" i="1" s="1"/>
  <c r="AR195" i="1" s="1"/>
  <c r="AS195" i="1" s="1"/>
  <c r="S177" i="170"/>
  <c r="AO204" i="1" s="1"/>
  <c r="AP204" i="1" s="1"/>
  <c r="AQ204" i="1" s="1"/>
  <c r="AR204" i="1" s="1"/>
  <c r="AS204" i="1" s="1"/>
  <c r="Q138" i="170"/>
  <c r="X142" i="170"/>
  <c r="S15" i="170"/>
  <c r="AO260" i="1" s="1"/>
  <c r="AP260" i="1" s="1"/>
  <c r="AQ260" i="1" s="1"/>
  <c r="AR260" i="1" s="1"/>
  <c r="AS260" i="1" s="1"/>
  <c r="S179" i="170"/>
  <c r="AO301" i="1" s="1"/>
  <c r="AP301" i="1" s="1"/>
  <c r="AQ301" i="1" s="1"/>
  <c r="AR301" i="1" s="1"/>
  <c r="AS301" i="1" s="1"/>
  <c r="X298" i="170"/>
  <c r="X104" i="170"/>
  <c r="S280" i="170"/>
  <c r="AO372" i="1" s="1"/>
  <c r="AP372" i="1" s="1"/>
  <c r="AQ372" i="1" s="1"/>
  <c r="AR372" i="1" s="1"/>
  <c r="AS372" i="1" s="1"/>
  <c r="Q288" i="170"/>
  <c r="S288" i="170"/>
  <c r="AO128" i="1" s="1"/>
  <c r="AP128" i="1" s="1"/>
  <c r="AQ128" i="1" s="1"/>
  <c r="AR128" i="1" s="1"/>
  <c r="AS128" i="1" s="1"/>
  <c r="R312" i="170"/>
  <c r="X312" i="170"/>
  <c r="S16" i="170"/>
  <c r="AO28" i="1" s="1"/>
  <c r="AP28" i="1" s="1"/>
  <c r="AQ28" i="1" s="1"/>
  <c r="AR28" i="1" s="1"/>
  <c r="AS28" i="1" s="1"/>
  <c r="S292" i="170"/>
  <c r="AO130" i="1" s="1"/>
  <c r="AP130" i="1" s="1"/>
  <c r="AQ130" i="1" s="1"/>
  <c r="AR130" i="1" s="1"/>
  <c r="AS130" i="1" s="1"/>
  <c r="X182" i="170"/>
  <c r="S100" i="170"/>
  <c r="AO290" i="1" s="1"/>
  <c r="AP290" i="1" s="1"/>
  <c r="AQ290" i="1" s="1"/>
  <c r="AR290" i="1" s="1"/>
  <c r="AS290" i="1" s="1"/>
  <c r="R186" i="170"/>
  <c r="X186" i="170"/>
  <c r="R336" i="170"/>
  <c r="X336" i="170"/>
  <c r="S185" i="170"/>
  <c r="AO313" i="1" s="1"/>
  <c r="AP313" i="1" s="1"/>
  <c r="AQ313" i="1" s="1"/>
  <c r="AR313" i="1" s="1"/>
  <c r="AS313" i="1" s="1"/>
  <c r="Q185" i="170"/>
  <c r="S182" i="170"/>
  <c r="AO151" i="1" s="1"/>
  <c r="AP151" i="1" s="1"/>
  <c r="AQ151" i="1" s="1"/>
  <c r="AR151" i="1" s="1"/>
  <c r="AS151" i="1" s="1"/>
  <c r="S336" i="170"/>
  <c r="AO110" i="1" s="1"/>
  <c r="AP110" i="1" s="1"/>
  <c r="AQ110" i="1" s="1"/>
  <c r="AR110" i="1" s="1"/>
  <c r="AS110" i="1" s="1"/>
  <c r="X108" i="170"/>
  <c r="S108" i="170"/>
  <c r="AO307" i="1" s="1"/>
  <c r="AP307" i="1" s="1"/>
  <c r="AQ307" i="1" s="1"/>
  <c r="AR307" i="1" s="1"/>
  <c r="AS307" i="1" s="1"/>
  <c r="AP150" i="1"/>
  <c r="AQ150" i="1" s="1"/>
  <c r="AR150" i="1" s="1"/>
  <c r="AS150" i="1" s="1"/>
  <c r="AP331" i="1"/>
  <c r="AQ331" i="1" s="1"/>
  <c r="AR331" i="1" s="1"/>
  <c r="AS331" i="1" s="1"/>
  <c r="Q261" i="170"/>
  <c r="S261" i="170"/>
  <c r="AO296" i="1" s="1"/>
  <c r="AP296" i="1" s="1"/>
  <c r="AQ296" i="1" s="1"/>
  <c r="AR296" i="1" s="1"/>
  <c r="AS296" i="1" s="1"/>
  <c r="X337" i="170"/>
  <c r="S114" i="170"/>
  <c r="AO321" i="1" s="1"/>
  <c r="AP321" i="1" s="1"/>
  <c r="AQ321" i="1" s="1"/>
  <c r="AR321" i="1" s="1"/>
  <c r="AS321" i="1" s="1"/>
  <c r="S337" i="170"/>
  <c r="AO100" i="1" s="1"/>
  <c r="AP100" i="1" s="1"/>
  <c r="AQ100" i="1" s="1"/>
  <c r="AR100" i="1" s="1"/>
  <c r="AS100" i="1" s="1"/>
  <c r="X227" i="170"/>
  <c r="S10" i="170"/>
  <c r="AO327" i="1" s="1"/>
  <c r="AP327" i="1" s="1"/>
  <c r="AQ327" i="1" s="1"/>
  <c r="AR327" i="1" s="1"/>
  <c r="AS327" i="1" s="1"/>
  <c r="R354" i="170"/>
  <c r="S354" i="170"/>
  <c r="AO247" i="1" s="1"/>
  <c r="AP247" i="1" s="1"/>
  <c r="AQ247" i="1" s="1"/>
  <c r="AR247" i="1" s="1"/>
  <c r="AS247" i="1" s="1"/>
  <c r="X354" i="170"/>
  <c r="S167" i="170"/>
  <c r="AO82" i="1" s="1"/>
  <c r="AP82" i="1" s="1"/>
  <c r="AQ82" i="1" s="1"/>
  <c r="AR82" i="1" s="1"/>
  <c r="AS82" i="1" s="1"/>
  <c r="X167" i="170"/>
  <c r="R18" i="170"/>
  <c r="S18" i="170"/>
  <c r="AO49" i="1" s="1"/>
  <c r="AP49" i="1" s="1"/>
  <c r="AQ49" i="1" s="1"/>
  <c r="AR49" i="1" s="1"/>
  <c r="AS49" i="1" s="1"/>
  <c r="X18" i="170"/>
  <c r="Q310" i="170"/>
  <c r="S310" i="170"/>
  <c r="AO54" i="1" s="1"/>
  <c r="AP54" i="1" s="1"/>
  <c r="AQ54" i="1" s="1"/>
  <c r="AR54" i="1" s="1"/>
  <c r="AS54" i="1" s="1"/>
  <c r="S255" i="170"/>
  <c r="AO188" i="1" s="1"/>
  <c r="AP188" i="1" s="1"/>
  <c r="AQ188" i="1" s="1"/>
  <c r="AR188" i="1" s="1"/>
  <c r="AS188" i="1" s="1"/>
  <c r="Q255" i="170"/>
  <c r="R351" i="170"/>
  <c r="X351" i="170"/>
  <c r="R321" i="170"/>
  <c r="X321" i="170"/>
  <c r="S74" i="170"/>
  <c r="AO189" i="1" s="1"/>
  <c r="AP189" i="1" s="1"/>
  <c r="AQ189" i="1" s="1"/>
  <c r="AR189" i="1" s="1"/>
  <c r="AS189" i="1" s="1"/>
  <c r="Q74" i="170"/>
  <c r="Q225" i="170"/>
  <c r="S225" i="170"/>
  <c r="AO358" i="1" s="1"/>
  <c r="R124" i="170"/>
  <c r="X124" i="170"/>
  <c r="Q343" i="170"/>
  <c r="S343" i="170"/>
  <c r="AO94" i="1" s="1"/>
  <c r="AP94" i="1" s="1"/>
  <c r="AQ94" i="1" s="1"/>
  <c r="AR94" i="1" s="1"/>
  <c r="AS94" i="1" s="1"/>
  <c r="S353" i="170"/>
  <c r="AO72" i="1" s="1"/>
  <c r="AP72" i="1" s="1"/>
  <c r="AQ72" i="1" s="1"/>
  <c r="AR72" i="1" s="1"/>
  <c r="AS72" i="1" s="1"/>
  <c r="Q353" i="170"/>
  <c r="S287" i="170"/>
  <c r="AO284" i="1" s="1"/>
  <c r="AP284" i="1" s="1"/>
  <c r="AQ284" i="1" s="1"/>
  <c r="AR284" i="1" s="1"/>
  <c r="AS284" i="1" s="1"/>
  <c r="Q287" i="170"/>
  <c r="S168" i="170"/>
  <c r="AO312" i="1" s="1"/>
  <c r="AP312" i="1" s="1"/>
  <c r="AQ312" i="1" s="1"/>
  <c r="AR312" i="1" s="1"/>
  <c r="AS312" i="1" s="1"/>
  <c r="Q168" i="170"/>
  <c r="S300" i="170"/>
  <c r="AO365" i="1" s="1"/>
  <c r="AP365" i="1" s="1"/>
  <c r="AQ365" i="1" s="1"/>
  <c r="AR365" i="1" s="1"/>
  <c r="AS365" i="1" s="1"/>
  <c r="Q300" i="170"/>
  <c r="R310" i="170"/>
  <c r="X310" i="170"/>
  <c r="R264" i="170"/>
  <c r="X264" i="170"/>
  <c r="S229" i="170"/>
  <c r="AO231" i="1" s="1"/>
  <c r="AP231" i="1" s="1"/>
  <c r="AQ231" i="1" s="1"/>
  <c r="AR231" i="1" s="1"/>
  <c r="AS231" i="1" s="1"/>
  <c r="Q229" i="170"/>
  <c r="R74" i="170"/>
  <c r="X74" i="170"/>
  <c r="S124" i="170"/>
  <c r="AO306" i="1" s="1"/>
  <c r="AP306" i="1" s="1"/>
  <c r="AQ306" i="1" s="1"/>
  <c r="AR306" i="1" s="1"/>
  <c r="AS306" i="1" s="1"/>
  <c r="Q124" i="170"/>
  <c r="R122" i="170"/>
  <c r="X122" i="170"/>
  <c r="R353" i="170"/>
  <c r="X353" i="170"/>
  <c r="S220" i="170"/>
  <c r="AO366" i="1" s="1"/>
  <c r="AP366" i="1" s="1"/>
  <c r="AQ366" i="1" s="1"/>
  <c r="AR366" i="1" s="1"/>
  <c r="AS366" i="1" s="1"/>
  <c r="Q220" i="170"/>
  <c r="R22" i="170"/>
  <c r="X22" i="170"/>
  <c r="Q264" i="170"/>
  <c r="S264" i="170"/>
  <c r="AO129" i="1" s="1"/>
  <c r="AP129" i="1" s="1"/>
  <c r="AQ129" i="1" s="1"/>
  <c r="AR129" i="1" s="1"/>
  <c r="AS129" i="1" s="1"/>
  <c r="S77" i="170"/>
  <c r="AO342" i="1" s="1"/>
  <c r="AP342" i="1" s="1"/>
  <c r="AQ342" i="1" s="1"/>
  <c r="AR342" i="1" s="1"/>
  <c r="AS342" i="1" s="1"/>
  <c r="Q77" i="170"/>
  <c r="Q321" i="170"/>
  <c r="S321" i="170"/>
  <c r="AO353" i="1" s="1"/>
  <c r="AP353" i="1" s="1"/>
  <c r="AQ353" i="1" s="1"/>
  <c r="AR353" i="1" s="1"/>
  <c r="AS353" i="1" s="1"/>
  <c r="R145" i="170"/>
  <c r="X145" i="170"/>
  <c r="Q194" i="170"/>
  <c r="S194" i="170"/>
  <c r="AO298" i="1" s="1"/>
  <c r="AP298" i="1" s="1"/>
  <c r="AQ298" i="1" s="1"/>
  <c r="AR298" i="1" s="1"/>
  <c r="AS298" i="1" s="1"/>
  <c r="S289" i="170"/>
  <c r="AO36" i="1" s="1"/>
  <c r="AP36" i="1" s="1"/>
  <c r="AQ36" i="1" s="1"/>
  <c r="AR36" i="1" s="1"/>
  <c r="AS36" i="1" s="1"/>
  <c r="Q289" i="170"/>
  <c r="S110" i="170"/>
  <c r="AO230" i="1" s="1"/>
  <c r="AP230" i="1" s="1"/>
  <c r="AQ230" i="1" s="1"/>
  <c r="AR230" i="1" s="1"/>
  <c r="AS230" i="1" s="1"/>
  <c r="Q110" i="170"/>
  <c r="S122" i="170"/>
  <c r="AO235" i="1" s="1"/>
  <c r="AP235" i="1" s="1"/>
  <c r="AQ235" i="1" s="1"/>
  <c r="AR235" i="1" s="1"/>
  <c r="AS235" i="1" s="1"/>
  <c r="Q122" i="170"/>
  <c r="R300" i="170"/>
  <c r="X300" i="170"/>
  <c r="R359" i="170"/>
  <c r="X359" i="170"/>
  <c r="S313" i="170"/>
  <c r="AO45" i="1" s="1"/>
  <c r="AP45" i="1" s="1"/>
  <c r="AQ45" i="1" s="1"/>
  <c r="AR45" i="1" s="1"/>
  <c r="AS45" i="1" s="1"/>
  <c r="Q313" i="170"/>
  <c r="R283" i="170"/>
  <c r="X283" i="170"/>
  <c r="R229" i="170"/>
  <c r="X229" i="170"/>
  <c r="Q145" i="170"/>
  <c r="S145" i="170"/>
  <c r="AO30" i="1" s="1"/>
  <c r="AP30" i="1" s="1"/>
  <c r="AQ30" i="1" s="1"/>
  <c r="AR30" i="1" s="1"/>
  <c r="AS30" i="1" s="1"/>
  <c r="Q252" i="170"/>
  <c r="S252" i="170"/>
  <c r="AO328" i="1" s="1"/>
  <c r="AP328" i="1" s="1"/>
  <c r="AQ328" i="1" s="1"/>
  <c r="AR328" i="1" s="1"/>
  <c r="AS328" i="1" s="1"/>
  <c r="R289" i="170"/>
  <c r="X289" i="170"/>
  <c r="R110" i="170"/>
  <c r="X110" i="170"/>
  <c r="S231" i="170"/>
  <c r="AO369" i="1" s="1"/>
  <c r="AP369" i="1" s="1"/>
  <c r="AQ369" i="1" s="1"/>
  <c r="AR369" i="1" s="1"/>
  <c r="AS369" i="1" s="1"/>
  <c r="Q231" i="170"/>
  <c r="R168" i="170"/>
  <c r="X168" i="170"/>
  <c r="S22" i="170"/>
  <c r="AO356" i="1" s="1"/>
  <c r="AP356" i="1" s="1"/>
  <c r="AQ356" i="1" s="1"/>
  <c r="AR356" i="1" s="1"/>
  <c r="AS356" i="1" s="1"/>
  <c r="Q22" i="170"/>
  <c r="S359" i="170"/>
  <c r="AO37" i="1" s="1"/>
  <c r="AP37" i="1" s="1"/>
  <c r="AQ37" i="1" s="1"/>
  <c r="AR37" i="1" s="1"/>
  <c r="AS37" i="1" s="1"/>
  <c r="Q359" i="170"/>
  <c r="R313" i="170"/>
  <c r="X313" i="170"/>
  <c r="R317" i="170"/>
  <c r="X317" i="170"/>
  <c r="S317" i="170"/>
  <c r="AO258" i="1" s="1"/>
  <c r="AP258" i="1" s="1"/>
  <c r="AQ258" i="1" s="1"/>
  <c r="AR258" i="1" s="1"/>
  <c r="AS258" i="1" s="1"/>
  <c r="S139" i="170"/>
  <c r="AO85" i="1" s="1"/>
  <c r="AP85" i="1" s="1"/>
  <c r="AQ85" i="1" s="1"/>
  <c r="AR85" i="1" s="1"/>
  <c r="AS85" i="1" s="1"/>
  <c r="Q139" i="170"/>
  <c r="R335" i="170"/>
  <c r="X335" i="170"/>
  <c r="R295" i="170"/>
  <c r="X295" i="170"/>
  <c r="R231" i="170"/>
  <c r="X231" i="170"/>
  <c r="R216" i="170"/>
  <c r="X216" i="170"/>
  <c r="S216" i="170"/>
  <c r="AO140" i="1" s="1"/>
  <c r="AP140" i="1" s="1"/>
  <c r="AQ140" i="1" s="1"/>
  <c r="AR140" i="1" s="1"/>
  <c r="AS140" i="1" s="1"/>
  <c r="R184" i="170"/>
  <c r="X184" i="170"/>
  <c r="Q109" i="170"/>
  <c r="S109" i="170"/>
  <c r="AO197" i="1" s="1"/>
  <c r="AP197" i="1" s="1"/>
  <c r="AQ197" i="1" s="1"/>
  <c r="AR197" i="1" s="1"/>
  <c r="AS197" i="1" s="1"/>
  <c r="Q11" i="170"/>
  <c r="S11" i="170"/>
  <c r="AO157" i="1" s="1"/>
  <c r="AP157" i="1" s="1"/>
  <c r="AQ157" i="1" s="1"/>
  <c r="AR157" i="1" s="1"/>
  <c r="AS157" i="1" s="1"/>
  <c r="R290" i="170"/>
  <c r="X290" i="170"/>
  <c r="R139" i="170"/>
  <c r="X139" i="170"/>
  <c r="S226" i="170"/>
  <c r="AO343" i="1" s="1"/>
  <c r="AP343" i="1" s="1"/>
  <c r="AQ343" i="1" s="1"/>
  <c r="AR343" i="1" s="1"/>
  <c r="AS343" i="1" s="1"/>
  <c r="Q226" i="170"/>
  <c r="S105" i="170"/>
  <c r="AO14" i="1" s="1"/>
  <c r="AP14" i="1" s="1"/>
  <c r="Q105" i="170"/>
  <c r="S335" i="170"/>
  <c r="AO325" i="1" s="1"/>
  <c r="AP325" i="1" s="1"/>
  <c r="AQ325" i="1" s="1"/>
  <c r="AR325" i="1" s="1"/>
  <c r="AS325" i="1" s="1"/>
  <c r="Q335" i="170"/>
  <c r="R77" i="170"/>
  <c r="X77" i="170"/>
  <c r="S184" i="170"/>
  <c r="AO386" i="1" s="1"/>
  <c r="AP386" i="1" s="1"/>
  <c r="AQ386" i="1" s="1"/>
  <c r="AR386" i="1" s="1"/>
  <c r="AS386" i="1" s="1"/>
  <c r="Q184" i="170"/>
  <c r="R109" i="170"/>
  <c r="X109" i="170"/>
  <c r="R113" i="170"/>
  <c r="X113" i="170"/>
  <c r="R225" i="170"/>
  <c r="X225" i="170"/>
  <c r="S290" i="170"/>
  <c r="AO355" i="1" s="1"/>
  <c r="AP355" i="1" s="1"/>
  <c r="AQ355" i="1" s="1"/>
  <c r="AR355" i="1" s="1"/>
  <c r="AS355" i="1" s="1"/>
  <c r="Q290" i="170"/>
  <c r="X105" i="170"/>
  <c r="R105" i="170"/>
  <c r="R323" i="170"/>
  <c r="X323" i="170"/>
  <c r="R194" i="170"/>
  <c r="X194" i="170"/>
  <c r="S334" i="170"/>
  <c r="AO93" i="1" s="1"/>
  <c r="AP93" i="1" s="1"/>
  <c r="AQ93" i="1" s="1"/>
  <c r="AR93" i="1" s="1"/>
  <c r="AS93" i="1" s="1"/>
  <c r="R343" i="170"/>
  <c r="X343" i="170"/>
  <c r="R314" i="170"/>
  <c r="X314" i="170"/>
  <c r="Q113" i="170"/>
  <c r="S113" i="170"/>
  <c r="AO194" i="1" s="1"/>
  <c r="AP194" i="1" s="1"/>
  <c r="AQ194" i="1" s="1"/>
  <c r="AR194" i="1" s="1"/>
  <c r="AS194" i="1" s="1"/>
  <c r="S351" i="170"/>
  <c r="AO250" i="1" s="1"/>
  <c r="AP250" i="1" s="1"/>
  <c r="AQ250" i="1" s="1"/>
  <c r="AR250" i="1" s="1"/>
  <c r="AS250" i="1" s="1"/>
  <c r="Q351" i="170"/>
  <c r="R287" i="170"/>
  <c r="X287" i="170"/>
  <c r="R226" i="170"/>
  <c r="X226" i="170"/>
  <c r="Q127" i="170"/>
  <c r="S127" i="170"/>
  <c r="AO161" i="1" s="1"/>
  <c r="AP161" i="1" s="1"/>
  <c r="AQ161" i="1" s="1"/>
  <c r="AR161" i="1" s="1"/>
  <c r="AS161" i="1" s="1"/>
  <c r="R252" i="170"/>
  <c r="X252" i="170"/>
  <c r="S283" i="170"/>
  <c r="AO294" i="1" s="1"/>
  <c r="AP294" i="1" s="1"/>
  <c r="AQ294" i="1" s="1"/>
  <c r="AR294" i="1" s="1"/>
  <c r="AS294" i="1" s="1"/>
  <c r="T398" i="170"/>
  <c r="W398" i="170"/>
  <c r="R272" i="170"/>
  <c r="P398" i="170"/>
  <c r="U398" i="170"/>
  <c r="V398" i="170"/>
  <c r="S193" i="170"/>
  <c r="AO10" i="1" s="1"/>
  <c r="X193" i="170"/>
  <c r="S375" i="170"/>
  <c r="AO12" i="1" s="1"/>
  <c r="X375" i="170"/>
  <c r="Q193" i="170"/>
  <c r="Q272" i="170"/>
  <c r="S272" i="170"/>
  <c r="AO7" i="1" s="1"/>
  <c r="R277" i="170"/>
  <c r="X277" i="170"/>
  <c r="R375" i="170"/>
  <c r="Q146" i="170"/>
  <c r="S146" i="170"/>
  <c r="AO15" i="1" s="1"/>
  <c r="AP15" i="1" s="1"/>
  <c r="AQ15" i="1" s="1"/>
  <c r="AR15" i="1" s="1"/>
  <c r="AS15" i="1" s="1"/>
  <c r="S251" i="170"/>
  <c r="AO17" i="1" s="1"/>
  <c r="Q251" i="170"/>
  <c r="S282" i="170"/>
  <c r="AO16" i="1" s="1"/>
  <c r="Q282" i="170"/>
  <c r="X251" i="170"/>
  <c r="R251" i="170"/>
  <c r="S277" i="170"/>
  <c r="AO9" i="1" s="1"/>
  <c r="Q277" i="170"/>
  <c r="R282" i="170"/>
  <c r="X272" i="170"/>
  <c r="X282" i="170"/>
  <c r="X146" i="170"/>
  <c r="AP61" i="1"/>
  <c r="AQ61" i="1" s="1"/>
  <c r="AR61" i="1" s="1"/>
  <c r="AS61" i="1" s="1"/>
  <c r="AP103" i="1"/>
  <c r="AQ103" i="1" s="1"/>
  <c r="AR103" i="1" s="1"/>
  <c r="AS103" i="1" s="1"/>
  <c r="AP310" i="1"/>
  <c r="AQ310" i="1" s="1"/>
  <c r="AR310" i="1" s="1"/>
  <c r="AS310" i="1" s="1"/>
  <c r="AP383" i="1"/>
  <c r="AQ383" i="1" s="1"/>
  <c r="AR383" i="1" s="1"/>
  <c r="AS383" i="1" s="1"/>
  <c r="AP11" i="1"/>
  <c r="AQ11" i="1" s="1"/>
  <c r="AR11" i="1" s="1"/>
  <c r="AS11" i="1" s="1"/>
  <c r="AP221" i="1"/>
  <c r="AQ221" i="1" s="1"/>
  <c r="AR221" i="1" s="1"/>
  <c r="AS221" i="1" s="1"/>
  <c r="AP359" i="1"/>
  <c r="AQ359" i="1" s="1"/>
  <c r="AR359" i="1" s="1"/>
  <c r="AS359" i="1" s="1"/>
  <c r="AP279" i="1"/>
  <c r="AQ279" i="1" s="1"/>
  <c r="AR279" i="1" s="1"/>
  <c r="AS279" i="1" s="1"/>
  <c r="AP160" i="1"/>
  <c r="AQ160" i="1" s="1"/>
  <c r="AR160" i="1" s="1"/>
  <c r="AS160" i="1" s="1"/>
  <c r="AP164" i="1"/>
  <c r="AQ164" i="1" s="1"/>
  <c r="AR164" i="1" s="1"/>
  <c r="AS164" i="1" s="1"/>
  <c r="AP205" i="1"/>
  <c r="AQ205" i="1" s="1"/>
  <c r="AR205" i="1" s="1"/>
  <c r="AS205" i="1" s="1"/>
  <c r="AP86" i="1"/>
  <c r="AQ86" i="1" s="1"/>
  <c r="AR86" i="1" s="1"/>
  <c r="AS86" i="1" s="1"/>
  <c r="AP295" i="1"/>
  <c r="AQ295" i="1" s="1"/>
  <c r="AR295" i="1" s="1"/>
  <c r="AS295" i="1" s="1"/>
  <c r="AP101" i="1"/>
  <c r="AQ101" i="1" s="1"/>
  <c r="AR101" i="1" s="1"/>
  <c r="AS101" i="1" s="1"/>
  <c r="AP39" i="1"/>
  <c r="AQ39" i="1" s="1"/>
  <c r="AR39" i="1" s="1"/>
  <c r="AS39" i="1" s="1"/>
  <c r="AP316" i="1"/>
  <c r="AQ316" i="1" s="1"/>
  <c r="AR316" i="1" s="1"/>
  <c r="AS316" i="1" s="1"/>
  <c r="AP60" i="1"/>
  <c r="AQ60" i="1" s="1"/>
  <c r="AR60" i="1" s="1"/>
  <c r="AS60" i="1" s="1"/>
  <c r="AP158" i="1"/>
  <c r="AQ158" i="1" s="1"/>
  <c r="AR158" i="1" s="1"/>
  <c r="AS158" i="1" s="1"/>
  <c r="AP163" i="1"/>
  <c r="AQ163" i="1" s="1"/>
  <c r="AR163" i="1" s="1"/>
  <c r="AS163" i="1" s="1"/>
  <c r="AP344" i="1"/>
  <c r="AQ344" i="1" s="1"/>
  <c r="AR344" i="1" s="1"/>
  <c r="AS344" i="1" s="1"/>
  <c r="AP113" i="1"/>
  <c r="AQ113" i="1" s="1"/>
  <c r="AR113" i="1" s="1"/>
  <c r="AS113" i="1" s="1"/>
  <c r="AP33" i="1"/>
  <c r="AQ33" i="1" s="1"/>
  <c r="AR33" i="1" s="1"/>
  <c r="AS33" i="1" s="1"/>
  <c r="AP133" i="1"/>
  <c r="AQ133" i="1" s="1"/>
  <c r="AR133" i="1" s="1"/>
  <c r="AS133" i="1" s="1"/>
  <c r="AP159" i="1"/>
  <c r="AQ159" i="1" s="1"/>
  <c r="AR159" i="1" s="1"/>
  <c r="AS159" i="1" s="1"/>
  <c r="AP22" i="1"/>
  <c r="AQ22" i="1" s="1"/>
  <c r="AR22" i="1" s="1"/>
  <c r="AS22" i="1" s="1"/>
  <c r="AP98" i="1"/>
  <c r="AQ98" i="1" s="1"/>
  <c r="AR98" i="1" s="1"/>
  <c r="AS98" i="1" s="1"/>
  <c r="AP177" i="1"/>
  <c r="AQ177" i="1" s="1"/>
  <c r="AR177" i="1" s="1"/>
  <c r="AS177" i="1" s="1"/>
  <c r="AP286" i="1"/>
  <c r="AQ286" i="1" s="1"/>
  <c r="AR286" i="1" s="1"/>
  <c r="AS286" i="1" s="1"/>
  <c r="AP220" i="1"/>
  <c r="AQ220" i="1" s="1"/>
  <c r="AR220" i="1" s="1"/>
  <c r="AS220" i="1" s="1"/>
  <c r="AP145" i="1"/>
  <c r="AQ145" i="1" s="1"/>
  <c r="AR145" i="1" s="1"/>
  <c r="AS145" i="1" s="1"/>
  <c r="AP348" i="1"/>
  <c r="AQ348" i="1" s="1"/>
  <c r="AR348" i="1" s="1"/>
  <c r="AS348" i="1" s="1"/>
  <c r="AP201" i="1"/>
  <c r="AQ201" i="1" s="1"/>
  <c r="AR201" i="1" s="1"/>
  <c r="AS201" i="1" s="1"/>
  <c r="AP124" i="1"/>
  <c r="AQ124" i="1" s="1"/>
  <c r="AR124" i="1" s="1"/>
  <c r="AS124" i="1" s="1"/>
  <c r="AP308" i="1"/>
  <c r="AQ308" i="1" s="1"/>
  <c r="AR308" i="1" s="1"/>
  <c r="AS308" i="1" s="1"/>
  <c r="AP276" i="1"/>
  <c r="AQ276" i="1" s="1"/>
  <c r="AR276" i="1" s="1"/>
  <c r="AS276" i="1" s="1"/>
  <c r="AP257" i="1"/>
  <c r="AQ257" i="1" s="1"/>
  <c r="AR257" i="1" s="1"/>
  <c r="AS257" i="1" s="1"/>
  <c r="AP340" i="1"/>
  <c r="AQ340" i="1" s="1"/>
  <c r="AR340" i="1" s="1"/>
  <c r="AS340" i="1" s="1"/>
  <c r="AP96" i="1"/>
  <c r="AQ96" i="1" s="1"/>
  <c r="AR96" i="1" s="1"/>
  <c r="AS96" i="1" s="1"/>
  <c r="AP261" i="1"/>
  <c r="AQ261" i="1" s="1"/>
  <c r="AR261" i="1" s="1"/>
  <c r="AS261" i="1" s="1"/>
  <c r="AP73" i="1"/>
  <c r="AQ73" i="1" s="1"/>
  <c r="AR73" i="1" s="1"/>
  <c r="AS73" i="1" s="1"/>
  <c r="AP8" i="1"/>
  <c r="AP287" i="1"/>
  <c r="AQ287" i="1" s="1"/>
  <c r="AR287" i="1" s="1"/>
  <c r="AS287" i="1" s="1"/>
  <c r="AP278" i="1"/>
  <c r="AQ278" i="1" s="1"/>
  <c r="AR278" i="1" s="1"/>
  <c r="AS278" i="1" s="1"/>
  <c r="AP255" i="1"/>
  <c r="AQ255" i="1" s="1"/>
  <c r="AR255" i="1" s="1"/>
  <c r="AS255" i="1" s="1"/>
  <c r="AP208" i="1"/>
  <c r="AQ208" i="1" s="1"/>
  <c r="AR208" i="1" s="1"/>
  <c r="AS208" i="1" s="1"/>
  <c r="AP167" i="1"/>
  <c r="AQ167" i="1" s="1"/>
  <c r="AR167" i="1" s="1"/>
  <c r="AS167" i="1" s="1"/>
  <c r="AP79" i="1"/>
  <c r="AQ79" i="1" s="1"/>
  <c r="AR79" i="1" s="1"/>
  <c r="AS79" i="1" s="1"/>
  <c r="B9" i="102"/>
  <c r="B5" i="102"/>
  <c r="B7" i="102"/>
  <c r="B11" i="102"/>
  <c r="P3" i="71"/>
  <c r="O3" i="71"/>
  <c r="D4" i="105" s="1"/>
  <c r="D5" i="105" s="1"/>
  <c r="S398" i="170" l="1"/>
  <c r="R398" i="170"/>
  <c r="X398" i="170"/>
  <c r="Q398" i="170"/>
  <c r="AP6" i="1"/>
  <c r="AP322" i="1"/>
  <c r="AQ322" i="1" s="1"/>
  <c r="AR322" i="1" s="1"/>
  <c r="AS322" i="1" s="1"/>
  <c r="AP358" i="1"/>
  <c r="AQ358" i="1" s="1"/>
  <c r="AR358" i="1" s="1"/>
  <c r="AS358" i="1" s="1"/>
  <c r="AP17" i="1"/>
  <c r="AQ17" i="1" s="1"/>
  <c r="AR17" i="1" s="1"/>
  <c r="AS17" i="1" s="1"/>
  <c r="C10" i="102"/>
  <c r="AP18" i="1"/>
  <c r="AQ18" i="1" s="1"/>
  <c r="AR18" i="1" s="1"/>
  <c r="AS18" i="1" s="1"/>
  <c r="B6" i="102"/>
  <c r="B12" i="102"/>
  <c r="B17" i="102"/>
  <c r="B15" i="102"/>
  <c r="AN4" i="1"/>
  <c r="AP9" i="1"/>
  <c r="AQ9" i="1" s="1"/>
  <c r="AR9" i="1" s="1"/>
  <c r="AS9" i="1" s="1"/>
  <c r="AP13" i="1"/>
  <c r="AP10" i="1"/>
  <c r="AQ10" i="1" s="1"/>
  <c r="AR10" i="1" s="1"/>
  <c r="AS10" i="1" s="1"/>
  <c r="AP7" i="1"/>
  <c r="AQ7" i="1" s="1"/>
  <c r="AP16" i="1"/>
  <c r="AQ16" i="1" s="1"/>
  <c r="AR16" i="1" s="1"/>
  <c r="AS16" i="1" s="1"/>
  <c r="AP12" i="1"/>
  <c r="AQ12" i="1" s="1"/>
  <c r="AR12" i="1" s="1"/>
  <c r="AS12" i="1" s="1"/>
  <c r="B16" i="102"/>
  <c r="B13" i="102"/>
  <c r="B14" i="102"/>
  <c r="B8" i="102"/>
  <c r="D6" i="105"/>
  <c r="AQ14" i="1"/>
  <c r="AQ8" i="1"/>
  <c r="D11" i="102" l="1"/>
  <c r="C11" i="102"/>
  <c r="AO4" i="1"/>
  <c r="D9" i="102"/>
  <c r="C9" i="102"/>
  <c r="C6" i="102"/>
  <c r="D6" i="102"/>
  <c r="AQ6" i="1"/>
  <c r="AR6" i="1" s="1"/>
  <c r="C12" i="102"/>
  <c r="C15" i="102"/>
  <c r="D13" i="102"/>
  <c r="C13" i="102"/>
  <c r="B3" i="102"/>
  <c r="D17" i="102"/>
  <c r="E17" i="102"/>
  <c r="C16" i="102"/>
  <c r="E10" i="102"/>
  <c r="D10" i="102"/>
  <c r="C17" i="102"/>
  <c r="C14" i="102"/>
  <c r="C8" i="102"/>
  <c r="D8" i="102"/>
  <c r="C7" i="102"/>
  <c r="G17" i="102"/>
  <c r="F17" i="102"/>
  <c r="H17" i="102" s="1"/>
  <c r="I17" i="102" s="1"/>
  <c r="AQ13" i="1"/>
  <c r="E9" i="102" s="1"/>
  <c r="D12" i="102"/>
  <c r="AR8" i="1"/>
  <c r="D16" i="102"/>
  <c r="AR14" i="1"/>
  <c r="AR7" i="1"/>
  <c r="E6" i="102"/>
  <c r="D15" i="102"/>
  <c r="E11" i="102"/>
  <c r="E13" i="102"/>
  <c r="E4" i="105" l="1"/>
  <c r="E6" i="105" s="1"/>
  <c r="F6" i="105" s="1"/>
  <c r="C5" i="102"/>
  <c r="C3" i="102" s="1"/>
  <c r="F10" i="102"/>
  <c r="H10" i="102" s="1"/>
  <c r="I10" i="102" s="1"/>
  <c r="E8" i="102"/>
  <c r="D14" i="102"/>
  <c r="D7" i="102"/>
  <c r="F11" i="102"/>
  <c r="H11" i="102" s="1"/>
  <c r="I11" i="102" s="1"/>
  <c r="G11" i="102"/>
  <c r="AS7" i="1"/>
  <c r="G6" i="102" s="1"/>
  <c r="F6" i="102"/>
  <c r="H6" i="102" s="1"/>
  <c r="I6" i="102" s="1"/>
  <c r="F13" i="102"/>
  <c r="H13" i="102" s="1"/>
  <c r="I13" i="102" s="1"/>
  <c r="AS8" i="1"/>
  <c r="AS14" i="1"/>
  <c r="E16" i="102"/>
  <c r="E15" i="102"/>
  <c r="AS6" i="1"/>
  <c r="AR13" i="1"/>
  <c r="F9" i="102" s="1"/>
  <c r="H9" i="102" s="1"/>
  <c r="I9" i="102" s="1"/>
  <c r="E12" i="102"/>
  <c r="F4" i="105" l="1"/>
  <c r="E5" i="105"/>
  <c r="F5" i="105" s="1"/>
  <c r="E5" i="102"/>
  <c r="D5" i="102"/>
  <c r="D3" i="102" s="1"/>
  <c r="AP4" i="1"/>
  <c r="F5" i="102"/>
  <c r="H5" i="102" s="1"/>
  <c r="AQ4" i="1"/>
  <c r="G10" i="102"/>
  <c r="E14" i="102"/>
  <c r="F8" i="102"/>
  <c r="H8" i="102" s="1"/>
  <c r="I8" i="102" s="1"/>
  <c r="G13" i="102"/>
  <c r="E7" i="102"/>
  <c r="G15" i="102"/>
  <c r="F15" i="102"/>
  <c r="H15" i="102" s="1"/>
  <c r="I15" i="102" s="1"/>
  <c r="AS13" i="1"/>
  <c r="G12" i="102" s="1"/>
  <c r="F12" i="102"/>
  <c r="H12" i="102" s="1"/>
  <c r="I12" i="102" s="1"/>
  <c r="F16" i="102"/>
  <c r="H16" i="102" s="1"/>
  <c r="I16" i="102" s="1"/>
  <c r="G9" i="102" l="1"/>
  <c r="AR4" i="1"/>
  <c r="G16" i="102"/>
  <c r="E3" i="102"/>
  <c r="F14" i="102"/>
  <c r="H14" i="102" s="1"/>
  <c r="I14" i="102" s="1"/>
  <c r="G8" i="102"/>
  <c r="G7" i="102"/>
  <c r="F7" i="102"/>
  <c r="H7" i="102" s="1"/>
  <c r="I7" i="102" s="1"/>
  <c r="I5" i="102"/>
  <c r="G5" i="102" l="1"/>
  <c r="AS4" i="1"/>
  <c r="G14" i="102"/>
  <c r="H3" i="102"/>
  <c r="F3" i="102"/>
  <c r="G3" i="10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tc={812488E2-CF0F-4C92-88FC-5640C3714B06}</author>
    <author>tc={4C6C9224-8AF0-45CA-A956-BC65A9CE91AF}</author>
  </authors>
  <commentList>
    <comment ref="D113" authorId="0" shapeId="0" xr:uid="{812488E2-CF0F-4C92-88FC-5640C3714B06}">
      <text>
        <t>[Threaded comment]
Your version of Excel allows you to read this threaded comment; however, any edits to it will get removed if the file is opened in a newer version of Excel. Learn more: https://go.microsoft.com/fwlink/?linkid=870924
Comment:
    Provider-submitted NPI was not found. 11154315307 was on the Active Provider List.</t>
      </text>
    </comment>
    <comment ref="D370" authorId="1" shapeId="0" xr:uid="{4C6C9224-8AF0-45CA-A956-BC65A9CE91AF}">
      <text>
        <t>[Threaded comment]
Your version of Excel allows you to read this threaded comment; however, any edits to it will get removed if the file is opened in a newer version of Excel. Learn more: https://go.microsoft.com/fwlink/?linkid=870924
Comment:
    Provider-submitted NPI was not found. 1699772541 was on Active Provider List.</t>
      </text>
    </comment>
  </commentList>
</comments>
</file>

<file path=xl/sharedStrings.xml><?xml version="1.0" encoding="utf-8"?>
<sst xmlns="http://schemas.openxmlformats.org/spreadsheetml/2006/main" count="15624" uniqueCount="3763">
  <si>
    <t>Master TPI</t>
  </si>
  <si>
    <t>NPI</t>
  </si>
  <si>
    <t>PROVIDER NAME</t>
  </si>
  <si>
    <t>SDA</t>
  </si>
  <si>
    <t>365048301</t>
  </si>
  <si>
    <t>1669732178</t>
  </si>
  <si>
    <t xml:space="preserve">AD HOSPITAL EAST LLC-                                                  </t>
  </si>
  <si>
    <t>282322101</t>
  </si>
  <si>
    <t>1407169196</t>
  </si>
  <si>
    <t xml:space="preserve">AMH CATH LABS, LLC-TEXAS HEALTH HEART &amp; VASCULAR HOSPITAL ARLINGTON  </t>
  </si>
  <si>
    <t>364187001</t>
  </si>
  <si>
    <t>1457393571</t>
  </si>
  <si>
    <t xml:space="preserve">ANSON HOSPITAL DISTRICT-                                                  </t>
  </si>
  <si>
    <t>020834001</t>
  </si>
  <si>
    <t>1730132234</t>
  </si>
  <si>
    <t xml:space="preserve">MEMORIAL HERMANN HEALTH SYSTEM-MHHS THE WOODLANDS  HOSPITAL                      </t>
  </si>
  <si>
    <t>387515501</t>
  </si>
  <si>
    <t>1417465824</t>
  </si>
  <si>
    <t xml:space="preserve">ATHENS HOSPITAL LLC-UT HEALTH EAST TEXAS ATHENS HOSPITAL              </t>
  </si>
  <si>
    <t>282268601</t>
  </si>
  <si>
    <t>1386882488</t>
  </si>
  <si>
    <t xml:space="preserve">ATRIUM MEDICAL CENTER  LP-                                                  </t>
  </si>
  <si>
    <t>094215302</t>
  </si>
  <si>
    <t>1245292630</t>
  </si>
  <si>
    <t xml:space="preserve">AUSTIN CENTER FOR OUTPATIENT SURGERY   LP-NORTHWEST HILLS SURGICAL HOSPITAL                 </t>
  </si>
  <si>
    <t>151691601</t>
  </si>
  <si>
    <t>1609855139</t>
  </si>
  <si>
    <t xml:space="preserve">BAYLOR HEART AND VASCULAR CENTER                  </t>
  </si>
  <si>
    <t>344925801</t>
  </si>
  <si>
    <t>1952509465</t>
  </si>
  <si>
    <t xml:space="preserve">BAYLOR MEDICAL CENTER AT CARROLLTON-BAYLOR SCOTT &amp; WHITE MEDICAL CENTER -CARROLLTON   </t>
  </si>
  <si>
    <t>121776205</t>
  </si>
  <si>
    <t>1992700983</t>
  </si>
  <si>
    <t xml:space="preserve">BAYLOR MEDICAL CENTER AT IRVING-                                                  </t>
  </si>
  <si>
    <t>314161601</t>
  </si>
  <si>
    <t>1124305065</t>
  </si>
  <si>
    <t xml:space="preserve">BAYLOR MEDICAL CENTERS AT GARLAND AND MCKINNEY-BAYLOR SCOTT AND WHITE MEDICAL CENTER - MCKINNEY  </t>
  </si>
  <si>
    <t>388217701</t>
  </si>
  <si>
    <t>1801826839</t>
  </si>
  <si>
    <t xml:space="preserve">BAYLOR SCOTT &amp; WHITE MEDICAL CENTER - CENTENNIAL-                                                  </t>
  </si>
  <si>
    <t>401736001</t>
  </si>
  <si>
    <t>1104383371</t>
  </si>
  <si>
    <t xml:space="preserve">BOSQUE COUNTY HOSPITAL DISTRICT-GOODALL-WITCHER HOSPITAL                          </t>
  </si>
  <si>
    <t>094226002</t>
  </si>
  <si>
    <t>1801817135</t>
  </si>
  <si>
    <t xml:space="preserve">BRAZOS VALLEY PHYSICIANS ORGANIZATION MSO LLC-THE PHYSICIANS CENTRE HOSPITAL                    </t>
  </si>
  <si>
    <t>322879301</t>
  </si>
  <si>
    <t>1407191984</t>
  </si>
  <si>
    <t xml:space="preserve">BSA HOSPITAL LLC-BAPTIST ST ANTHONYS HEALTH SYSTEM                 </t>
  </si>
  <si>
    <t>387663301</t>
  </si>
  <si>
    <t>1538667035</t>
  </si>
  <si>
    <t xml:space="preserve">CARTHAGE HOSPITAL LLC-UT HEALTH EAST TEXAS CARTHAGE HOSPITAL            </t>
  </si>
  <si>
    <t>356438701</t>
  </si>
  <si>
    <t>1912395203</t>
  </si>
  <si>
    <t xml:space="preserve">CHG HOSPITAL AUSTIN LLC-CORNERSTONE SPECIALTY HOSPITALS AUSTIN            </t>
  </si>
  <si>
    <t>138910807</t>
  </si>
  <si>
    <t>1194743013</t>
  </si>
  <si>
    <t xml:space="preserve">CHILDRENS MEDICAL CENTER OF DALLAS-CHILDRENS MEDICAL CENTER                          </t>
  </si>
  <si>
    <t>354178101</t>
  </si>
  <si>
    <t>1720480627</t>
  </si>
  <si>
    <t xml:space="preserve">CHILDRENS MEDICAL CENTER OF DALLAS-CHILDREN'S MEDICAL CENTER PLANO                   </t>
  </si>
  <si>
    <t>020844901</t>
  </si>
  <si>
    <t>1194787218</t>
  </si>
  <si>
    <t xml:space="preserve">CHRISTUS SANTA ROSA HEALTH CARE CORPORATION-CHRISTUS SANTA ROSA HOSPITAL                      </t>
  </si>
  <si>
    <t>112667403</t>
  </si>
  <si>
    <t>1124092036</t>
  </si>
  <si>
    <t xml:space="preserve">CHRISTUS GOOD SHEPHERD MEDICAL CENTER-CHRISTUS GOOD SHEPHERD MEDICAL CENTER MARSHALL    </t>
  </si>
  <si>
    <t>020976902</t>
  </si>
  <si>
    <t>1295736734</t>
  </si>
  <si>
    <t xml:space="preserve">CHRISTUS HEALTH ARK LATEX-                                                  </t>
  </si>
  <si>
    <t>020844903</t>
  </si>
  <si>
    <t>1821004151</t>
  </si>
  <si>
    <t xml:space="preserve">CHRISTUS SANTA ROSA HEALTH CARE CORPORATION-CHRISTUS SANTA ROSA CHILDRENS                     </t>
  </si>
  <si>
    <t>094222903</t>
  </si>
  <si>
    <t>1003885641</t>
  </si>
  <si>
    <t xml:space="preserve">CHRISTUS SPOHN HEALTH SYSTEM CORPORATION-                                                  </t>
  </si>
  <si>
    <t>135033210</t>
  </si>
  <si>
    <t>1740238641</t>
  </si>
  <si>
    <t xml:space="preserve">COLUMBUS COMMUNITY HOSPITAL-                                                  </t>
  </si>
  <si>
    <t>352064501</t>
  </si>
  <si>
    <t>1588005888</t>
  </si>
  <si>
    <t xml:space="preserve">CONTINUECARE HOSPITAL OF MIDLAND INC-                                                  </t>
  </si>
  <si>
    <t>178396101</t>
  </si>
  <si>
    <t>1174524466</t>
  </si>
  <si>
    <t>CONTINUE CARE HOSPITAL OF TYLER INC-TYLER CONTINUE CARE HOSPITAL AT MOTHER FRANCES HOS</t>
  </si>
  <si>
    <t>021184901</t>
  </si>
  <si>
    <t>1891765178</t>
  </si>
  <si>
    <t xml:space="preserve">COOK CHILDREN'S MEDICAL CENTER-                                                  </t>
  </si>
  <si>
    <t>134772611</t>
  </si>
  <si>
    <t>1780823021</t>
  </si>
  <si>
    <t xml:space="preserve">CORYELL COUNTY MEMORIAL HOSPITAL AUTHORITY-                                                  </t>
  </si>
  <si>
    <t>319209801</t>
  </si>
  <si>
    <t>1013941780</t>
  </si>
  <si>
    <t xml:space="preserve">COVENANT LONG TERM CARE LP-COVENANT SPECIALTY HOSPITAL                       </t>
  </si>
  <si>
    <t>303478701</t>
  </si>
  <si>
    <t>1407010622</t>
  </si>
  <si>
    <t xml:space="preserve">CR EMERGENCY ROOM LLC-BAYLOR SCOTT AND WHITE EMERGENCY HOSPITAL         </t>
  </si>
  <si>
    <t>138911619</t>
  </si>
  <si>
    <t>1437148020</t>
  </si>
  <si>
    <t xml:space="preserve">CUERO COMMUNITY HOSPITAL                          </t>
  </si>
  <si>
    <t>361949601</t>
  </si>
  <si>
    <t>1568848059</t>
  </si>
  <si>
    <t xml:space="preserve">CUMBERLAND SURGICAL HOSPITAL OF SAN ANTONIO LLC-                                                  </t>
  </si>
  <si>
    <t>320384603</t>
  </si>
  <si>
    <t>1356559991</t>
  </si>
  <si>
    <t xml:space="preserve">DALLAS LTACH LLC-KINDRED HOSPITAL DALLAS CENTRAL                   </t>
  </si>
  <si>
    <t>189947801</t>
  </si>
  <si>
    <t>1134108053</t>
  </si>
  <si>
    <t xml:space="preserve">DAWSON COUNTY HOSPITAL DISTRICT-MEDICAL ARTS HOSPITAL                             </t>
  </si>
  <si>
    <t>1689628984</t>
  </si>
  <si>
    <t xml:space="preserve">COLUMBIA HOSPITAL MEDICAL CITY DALLAS, SUBSIDIARY-COLUMBIA HOSPITAL AT MEDICAL C                    </t>
  </si>
  <si>
    <t>217884004</t>
  </si>
  <si>
    <t>1326134255</t>
  </si>
  <si>
    <t xml:space="preserve">DIMMIT REGIONAL HOSPITAL-                                                  </t>
  </si>
  <si>
    <t>132812205</t>
  </si>
  <si>
    <t>1548286172</t>
  </si>
  <si>
    <t xml:space="preserve">DRISCOLL CHILDRENS HOSPITAL                       </t>
  </si>
  <si>
    <t>199210901</t>
  </si>
  <si>
    <t>1669655601</t>
  </si>
  <si>
    <t xml:space="preserve">EAST EL PASO PHYSICIANS MEDICAL CENTER LLC-FOUNDATION SURGICAL HOSPITAL OF EL PASO           </t>
  </si>
  <si>
    <t>348928801</t>
  </si>
  <si>
    <t>1679903967</t>
  </si>
  <si>
    <t xml:space="preserve">EBD BEMC BURLESON, LLC-BAYLOR SCOTT AND WHITE EMERGENCY HOSPITAL         </t>
  </si>
  <si>
    <t>311054601</t>
  </si>
  <si>
    <t>1003192311</t>
  </si>
  <si>
    <t xml:space="preserve">EL CAMPO MEMORIAL HOSPITAL-                                                  </t>
  </si>
  <si>
    <t>291854201</t>
  </si>
  <si>
    <t>1558659714</t>
  </si>
  <si>
    <t xml:space="preserve">EL PASO CHILDRENS HOSPITAL-                                                  </t>
  </si>
  <si>
    <t>363070901</t>
  </si>
  <si>
    <t>1992172019</t>
  </si>
  <si>
    <t xml:space="preserve">EMERGENCY HOSPITAL SYSTEMS LLC-CLEVELAND EMERGENCY HOSPITAL                      </t>
  </si>
  <si>
    <t>309798201</t>
  </si>
  <si>
    <t>1669752234</t>
  </si>
  <si>
    <t xml:space="preserve">EMERUS BHS SA THOUSAND OAKS LLC-BAPTIST EMERGENCY HOSPITAL SHAVANO PARK           </t>
  </si>
  <si>
    <t>376537203</t>
  </si>
  <si>
    <t>1235685892</t>
  </si>
  <si>
    <t>330811601</t>
  </si>
  <si>
    <t>1760417646</t>
  </si>
  <si>
    <t xml:space="preserve">FANNIN COUNTY HOSPITAL AUTHORITY-TMC BONHAM HOSPITAL                               </t>
  </si>
  <si>
    <t>365480801</t>
  </si>
  <si>
    <t>1821450255</t>
  </si>
  <si>
    <t xml:space="preserve">FIRST TEXAS HOSPITAL CY-FAIR, LLC-FIRST TEXAS HOSPITAL                              </t>
  </si>
  <si>
    <t>217744601</t>
  </si>
  <si>
    <t>1902047376</t>
  </si>
  <si>
    <t xml:space="preserve">FLOWER MOUND HOSPITAL PARTNERS LLC-TEXAS HEALTH PRESBYTERIAN HOSPITAL FLOWER MOUND   </t>
  </si>
  <si>
    <t>157144001</t>
  </si>
  <si>
    <t>1922002674</t>
  </si>
  <si>
    <t xml:space="preserve">FRISCO MEDICAL CENTER-BAYLOR SCOTT &amp; WHITE MEDICAL CENTER - FRISCO      </t>
  </si>
  <si>
    <t>167364201</t>
  </si>
  <si>
    <t>1871599183</t>
  </si>
  <si>
    <t xml:space="preserve">FT WORTH SURGICARE PARTNERS, LTD-BAYLOR SURGICAL HOSPITAL AT FT WORTH              </t>
  </si>
  <si>
    <t>396650901</t>
  </si>
  <si>
    <t>1972071991</t>
  </si>
  <si>
    <t xml:space="preserve">GAINESVILLE COMMUNITY HOSPITAL, INC.-NORTH TEXAS MEDICAL CENTER                        </t>
  </si>
  <si>
    <t>346945401</t>
  </si>
  <si>
    <t>1881691061</t>
  </si>
  <si>
    <t xml:space="preserve">GRAHAM HOSPITAL DISTRICT-                                                  </t>
  </si>
  <si>
    <t>007068203</t>
  </si>
  <si>
    <t>121792903</t>
  </si>
  <si>
    <t>1326037607</t>
  </si>
  <si>
    <t xml:space="preserve">HAMILTON COUNTY HOSPITAL DISTRICT-HAMILTON GENERAL HOSPITAL                         </t>
  </si>
  <si>
    <t>154504801</t>
  </si>
  <si>
    <t>1881688976</t>
  </si>
  <si>
    <t xml:space="preserve">HARLINGEN MEDICAL CENTER LP-                                                  </t>
  </si>
  <si>
    <t>380473401</t>
  </si>
  <si>
    <t>1003344334</t>
  </si>
  <si>
    <t xml:space="preserve">HCN EP HORIZON CITY LLC-THE HOSPITALS OF PROVIDENCE HORIZON CITY CAMPUS   </t>
  </si>
  <si>
    <t>021185601</t>
  </si>
  <si>
    <t>1013968726</t>
  </si>
  <si>
    <t xml:space="preserve">HEALTHBRIDGE CHILDRENS HOSPITAL- HOUSTON LTD-HEALTHBRIDGE CHILDRENS HOSPITAL                   </t>
  </si>
  <si>
    <t>322916301</t>
  </si>
  <si>
    <t>1558349399</t>
  </si>
  <si>
    <t xml:space="preserve">HEART OF TEXAS HEALTHCARE SYSTEM-                                                  </t>
  </si>
  <si>
    <t>387377001</t>
  </si>
  <si>
    <t>1326546797</t>
  </si>
  <si>
    <t xml:space="preserve">HENDERSON HOSPITAL LLC-UT HEALTH EAST TEXAS HENDERSON HOSPITAL           </t>
  </si>
  <si>
    <t>361699701</t>
  </si>
  <si>
    <t>1235510090</t>
  </si>
  <si>
    <t xml:space="preserve">HERITAGE PARK SURGICAL HOSPITAL, LLC-BAYLOR SCOTT &amp; WHITE SURGICAL HOSPITAL AT SHERMAN </t>
  </si>
  <si>
    <t>342897103</t>
  </si>
  <si>
    <t>1306268321</t>
  </si>
  <si>
    <t xml:space="preserve">HOUSTON METHODIST ST CATHERINE HOSPITAL-HOUSTON METHODIST CONTINUING CARE HOSPITAL        </t>
  </si>
  <si>
    <t>336478801</t>
  </si>
  <si>
    <t>1952723967</t>
  </si>
  <si>
    <t xml:space="preserve">HOUSTON METHODIST ST JOHN HOSPITAL-HOUSTON METHODIST CLEAR LAKE HOSPITAL             </t>
  </si>
  <si>
    <t>378943001</t>
  </si>
  <si>
    <t>1073043592</t>
  </si>
  <si>
    <t xml:space="preserve">HOUSTON PPH LLC-HCA HOUSTON HEALTHCARE MEDICAL CENTER             </t>
  </si>
  <si>
    <t>163936101</t>
  </si>
  <si>
    <t>1669569984</t>
  </si>
  <si>
    <t xml:space="preserve">IRVING COPPELL SURGICAL HOSPITAL LLP-IRVING-COPPELL SURGICAL HOSPITAL LLP              </t>
  </si>
  <si>
    <t>387381201</t>
  </si>
  <si>
    <t>1730697350</t>
  </si>
  <si>
    <t xml:space="preserve">JACKSONVILLE HOSPITAL LLC-UT HEALTH EAST TEXAS JACKSONVILLE HOSPITAL        </t>
  </si>
  <si>
    <t>136412710</t>
  </si>
  <si>
    <t>1699772541</t>
  </si>
  <si>
    <t xml:space="preserve">KARNES COUNTY HOSPITAL DISTRICT-OTTO KAISER MEMORIAL HOSPITAL                     </t>
  </si>
  <si>
    <t>168648701</t>
  </si>
  <si>
    <t>1669480323</t>
  </si>
  <si>
    <t xml:space="preserve">KELL WEST REGIONAL HOSPITAL LLC-KELL WEST REGIONAL HOSPITAL                       </t>
  </si>
  <si>
    <t>021001501</t>
  </si>
  <si>
    <t>1699844654</t>
  </si>
  <si>
    <t xml:space="preserve">KINDRED HOSPITALS LIMITED PARTNERSHIP-KINDRED HOSPITAL- DALLAS                          </t>
  </si>
  <si>
    <t>164466801</t>
  </si>
  <si>
    <t>1598834566</t>
  </si>
  <si>
    <t xml:space="preserve">KINDRED HOSPITALS LIMITED PARTNERSHIP-KINDRED HOSPITAL-FORT WORTH                       </t>
  </si>
  <si>
    <t>021004901</t>
  </si>
  <si>
    <t>1922177997</t>
  </si>
  <si>
    <t xml:space="preserve">KINDRED HOSPITALS LIMITED PARTNERSHIP-KINDRED HOSPITAL - MANSFIELD                      </t>
  </si>
  <si>
    <t>021002301</t>
  </si>
  <si>
    <t>1558430520</t>
  </si>
  <si>
    <t xml:space="preserve">KINDRED HOSPITALS LIMITED PARTNERSHIP-KINDRED HOSPITALS SAN ANTONIO                     </t>
  </si>
  <si>
    <t>149633301</t>
  </si>
  <si>
    <t>1821167818</t>
  </si>
  <si>
    <t xml:space="preserve">KINDRED HOSPITALS LIMITED PARTNERSHIP-KINDRED HOSPITAL-WHITE ROCK                       </t>
  </si>
  <si>
    <t>021008001</t>
  </si>
  <si>
    <t>1942379912</t>
  </si>
  <si>
    <t xml:space="preserve">KINDRED HOSPITALS LIMITED PARTNERSHIP-KINDRED HOSPTIAL HOUSTON MEDICAL CENTER           </t>
  </si>
  <si>
    <t>402430901</t>
  </si>
  <si>
    <t>1679137111</t>
  </si>
  <si>
    <t xml:space="preserve">KPC PROMISE HOSPITAL OF DALLAS, LLC-KPC PROMISE HOSPITAL OF DALLAS                    </t>
  </si>
  <si>
    <t>Other</t>
  </si>
  <si>
    <t>Dallas</t>
  </si>
  <si>
    <t>402388901</t>
  </si>
  <si>
    <t>1700440245</t>
  </si>
  <si>
    <t xml:space="preserve">KPC PROMISE HOSPITAL OF WICHITA FALLS, LLC-KPC PROMISE HOSPITAL OF WICHITA FALLS             </t>
  </si>
  <si>
    <t>MRSA West</t>
  </si>
  <si>
    <t>331242301</t>
  </si>
  <si>
    <t>1851632616</t>
  </si>
  <si>
    <t xml:space="preserve">LANCASTER REGIONAL HOSPITAL LP-CRESCENT MEDICAL CENTER LANCASTER                 </t>
  </si>
  <si>
    <t>185051301</t>
  </si>
  <si>
    <t>1316992878</t>
  </si>
  <si>
    <t xml:space="preserve">LAREDO SPECIALTY HOSPITAL                         </t>
  </si>
  <si>
    <t>388218501</t>
  </si>
  <si>
    <t>1922522606</t>
  </si>
  <si>
    <t xml:space="preserve">LHCG CXXI, LLC-CHRISTUS DUBUIS HOSPITAL OF BEAUMONT              </t>
  </si>
  <si>
    <t>163219201</t>
  </si>
  <si>
    <t>1922001775</t>
  </si>
  <si>
    <t xml:space="preserve">LUBBOCK HEART HOSPITAL LLC-LUBBOCK HEART HOSPITAL                            </t>
  </si>
  <si>
    <t>146509801</t>
  </si>
  <si>
    <t>1932152337</t>
  </si>
  <si>
    <t xml:space="preserve">MEMORIAL HERMANN HOSPITAL SYSTEM-MHHS KATY HOSPITAL                                </t>
  </si>
  <si>
    <t>192751901</t>
  </si>
  <si>
    <t>1295843787</t>
  </si>
  <si>
    <t xml:space="preserve">MEMORIAL HERMANN HOSPITAL SYSTEM-MHHS NORTHEAST HOSPITAL                           </t>
  </si>
  <si>
    <t>146021401</t>
  </si>
  <si>
    <t>1295788735</t>
  </si>
  <si>
    <t xml:space="preserve">MEMORIAL HERMANN HOSPITAL SYSTEM-MHHS SUGAR LAND HOSPITAL                          </t>
  </si>
  <si>
    <t>202351701</t>
  </si>
  <si>
    <t>1366532228</t>
  </si>
  <si>
    <t xml:space="preserve">MEMORIAL HERMANN SPECIALTY HOSPITAL KINGWOOD LLC  </t>
  </si>
  <si>
    <t>353570001</t>
  </si>
  <si>
    <t>1285028951</t>
  </si>
  <si>
    <t xml:space="preserve">MESA HILLS SPECIALTY HOSPITAL OPERATOR, LLC-MESA HILLS SPECIALTY HOSPITAL                     </t>
  </si>
  <si>
    <t>218319601</t>
  </si>
  <si>
    <t>1831146331</t>
  </si>
  <si>
    <t xml:space="preserve">MESQUITE SPECIALTY HOSPITAL LP                    </t>
  </si>
  <si>
    <t>376837601</t>
  </si>
  <si>
    <t>1184179194</t>
  </si>
  <si>
    <t xml:space="preserve">METHODIST HEALTH CENTERS-HOUSTON METHODIST THE WOODLANDS HOSPITAL          </t>
  </si>
  <si>
    <t>281028501</t>
  </si>
  <si>
    <t>1083937593</t>
  </si>
  <si>
    <t xml:space="preserve">METHODIST HEALTH CENTERS-HOUSTON METHODIST WEST HOSPITAL                   </t>
  </si>
  <si>
    <t>186221101</t>
  </si>
  <si>
    <t>1689629941</t>
  </si>
  <si>
    <t xml:space="preserve">METHODIST HOSPITAL OF DALLAS-METHODIST MANSFIELD MEDICAL CENTER                </t>
  </si>
  <si>
    <t>209345201</t>
  </si>
  <si>
    <t>1033165501</t>
  </si>
  <si>
    <t xml:space="preserve">METHODIST HOSPITALS OF DALLAS-METHODIST RICHARDSON MEDICAL CENTER               </t>
  </si>
  <si>
    <t>328934001</t>
  </si>
  <si>
    <t>1952538431</t>
  </si>
  <si>
    <t xml:space="preserve">METHODIST MCKINNEY HOSPITAL LLC-                                                  </t>
  </si>
  <si>
    <t>094219503</t>
  </si>
  <si>
    <t>1497871628</t>
  </si>
  <si>
    <t xml:space="preserve">METHODIST SUGAR LAND HOSPITAL-HOUSTON METHODIST SUGAR LAND HOSPITAL             </t>
  </si>
  <si>
    <t>140713201</t>
  </si>
  <si>
    <t>1871619254</t>
  </si>
  <si>
    <t xml:space="preserve">METHODIST WILLOWBROOK-HOUSTON METHODIST WILLOWBROOK HOSPITAL            </t>
  </si>
  <si>
    <t>149073203</t>
  </si>
  <si>
    <t>1750392916</t>
  </si>
  <si>
    <t xml:space="preserve">METROPLEX ADVENTIST HOSPITAL INC-ROLLINS BROOK COMMUNITY HOSPITAL                  </t>
  </si>
  <si>
    <t>384108201</t>
  </si>
  <si>
    <t>1831629674</t>
  </si>
  <si>
    <t xml:space="preserve">MH EMERUS FIRST COLONY, LLC-MEMORIAL HERMANN FIRST COLONY HOSPITAL            </t>
  </si>
  <si>
    <t>357475801</t>
  </si>
  <si>
    <t>1346630316</t>
  </si>
  <si>
    <t xml:space="preserve">MID JEFFERSON EXTENDED CARE HOSPITAL-                                                  </t>
  </si>
  <si>
    <t>141858401</t>
  </si>
  <si>
    <t>1952306672</t>
  </si>
  <si>
    <t xml:space="preserve">MOTHER FRANCES HOSPITAL JACKSONVILLE              </t>
  </si>
  <si>
    <t>094159302</t>
  </si>
  <si>
    <t>1386647717</t>
  </si>
  <si>
    <t xml:space="preserve">MSH PARTNERS LLC-BAYLOR MEDICAL CENTER AT UPTOWN                   </t>
  </si>
  <si>
    <t>147227603</t>
  </si>
  <si>
    <t>1760482939</t>
  </si>
  <si>
    <t xml:space="preserve">NEURO INSTITUTE OF AUSTIN LP-TEXAS NEUROREHAB CENTER                           </t>
  </si>
  <si>
    <t>094235102</t>
  </si>
  <si>
    <t>1023069697</t>
  </si>
  <si>
    <t xml:space="preserve">NEXUS SPECIALTY HOSPITAL - THE WOODLANDS LTD-NEXUS SPECIALTY HOSPITAL                          </t>
  </si>
  <si>
    <t>Harris</t>
  </si>
  <si>
    <t>021011401</t>
  </si>
  <si>
    <t>1659440634</t>
  </si>
  <si>
    <t xml:space="preserve">TRANSITIONAL HOSPITALS CORPORATION OF TEXAS LLC-KINDRED HOSPITAL- TARRANT COUNTY                  </t>
  </si>
  <si>
    <t>158914501</t>
  </si>
  <si>
    <t>1295890093</t>
  </si>
  <si>
    <t xml:space="preserve">ORTHOPEDIC AND SPINE SURGICAL HOSPITAL OF S TX LP-SOUTH TEXAS SPINE AND SURGICAL HOSPITAL LP        </t>
  </si>
  <si>
    <t>393491101</t>
  </si>
  <si>
    <t>1083104004</t>
  </si>
  <si>
    <t xml:space="preserve">PAM SPECIALTY HOSPITAL OF LUFKIN, LLC-                                                  </t>
  </si>
  <si>
    <t>MRSA Northeast</t>
  </si>
  <si>
    <t>346300201</t>
  </si>
  <si>
    <t>1467853051</t>
  </si>
  <si>
    <t xml:space="preserve">PAM SQUARED AT CORPUS CHRISTI LLC-PAM SPECIALTY HOSPITAL AT CORPUS CHRISTI NORTH    </t>
  </si>
  <si>
    <t>130616909</t>
  </si>
  <si>
    <t>1760598692</t>
  </si>
  <si>
    <t xml:space="preserve">PECOS COUNTY MEMORIAL HOSPITAL-                                                  </t>
  </si>
  <si>
    <t>165305701</t>
  </si>
  <si>
    <t>1912948845</t>
  </si>
  <si>
    <t xml:space="preserve">PHYSICIANS SURGICAL HOSPITALS LLC-QUAIL CREEK SURGICAL HOSPITAL                     </t>
  </si>
  <si>
    <t>388696201</t>
  </si>
  <si>
    <t>1184132524</t>
  </si>
  <si>
    <t xml:space="preserve">PITTSBURG HOSPITAL LLC-UT HEALTH EAST TEXAS PITTSBURG HOSPITAL           </t>
  </si>
  <si>
    <t>199191101</t>
  </si>
  <si>
    <t>1114962842</t>
  </si>
  <si>
    <t xml:space="preserve">POST ACUTE MEDICAL AT LULING LLC-WARM SPRINGS SPECIALTY HOSPITAL OF LULING LLC     </t>
  </si>
  <si>
    <t>199478201</t>
  </si>
  <si>
    <t>1376588228</t>
  </si>
  <si>
    <t>POST ACUTE MEDICAL AT SAN ANTONIO LLC-WARM SPRINGS REHABILITATION HOSPITAL OF SAN ANTONI</t>
  </si>
  <si>
    <t>199183801</t>
  </si>
  <si>
    <t>1659316115</t>
  </si>
  <si>
    <t xml:space="preserve">POST ACUTE MEDICAL AT VICTORIA LLC-PAM SPECIALTY HOSPITAL OF VICTORIA NORTH          </t>
  </si>
  <si>
    <t>317151401</t>
  </si>
  <si>
    <t>1689795098</t>
  </si>
  <si>
    <t xml:space="preserve">POST ACUTE MEDICAL OF NEW BRAUNFELS LLC-WARM SPRINGS SPECIALTY HOSPITAL OF NEW BRAUNFELS  </t>
  </si>
  <si>
    <t>331384301</t>
  </si>
  <si>
    <t>1417389784</t>
  </si>
  <si>
    <t xml:space="preserve">POST ACUTE SPECIALTY HOSPITAL OF VICTORIA LLC-PAM SPECIALTY HOSPITAL OF VICTORIA SOUTH          </t>
  </si>
  <si>
    <t>316360201</t>
  </si>
  <si>
    <t>1407121189</t>
  </si>
  <si>
    <t xml:space="preserve">PREFERRED HOSPITAL LEASING COLEMAN INC-COLEMAN COUNTY MEDICAL CENTER COMPANY             </t>
  </si>
  <si>
    <t>179272301</t>
  </si>
  <si>
    <t>1295764553</t>
  </si>
  <si>
    <t xml:space="preserve">PREFERRED HOSPITAL LEASING ELDORADO INC-SCHLEICHER COUNTY MEDICAL CENTER                  </t>
  </si>
  <si>
    <t>200683501</t>
  </si>
  <si>
    <t>1932379856</t>
  </si>
  <si>
    <t xml:space="preserve">PREFERRED HOSPITAL LEASING HEMPHILL INC-SABINE COUNTY HOSPITAL                            </t>
  </si>
  <si>
    <t>206083201</t>
  </si>
  <si>
    <t>1164688495</t>
  </si>
  <si>
    <t xml:space="preserve">PREFERRED HOSPITAL LEASING JUNCTION INC-KIMBLE HOSPITAL                                   </t>
  </si>
  <si>
    <t>350190001</t>
  </si>
  <si>
    <t>1619368339</t>
  </si>
  <si>
    <t xml:space="preserve">PREFERRED HOSPITAL LEASING MULESHOE INC-MULESHOE AREA MEDICAL CENTER                      </t>
  </si>
  <si>
    <t>121822403</t>
  </si>
  <si>
    <t>1700805678</t>
  </si>
  <si>
    <t xml:space="preserve">PRHC ENNIS LP-ENNIS REGIONAL MEDICAL CENTER                     </t>
  </si>
  <si>
    <t>388701003</t>
  </si>
  <si>
    <t>1477061885</t>
  </si>
  <si>
    <t xml:space="preserve">QUITMAN HOSPITAL LLC-UT HEALTH EAST TEXAS                              </t>
  </si>
  <si>
    <t>112684904</t>
  </si>
  <si>
    <t>1831170273</t>
  </si>
  <si>
    <t xml:space="preserve">REEVES COUNTY HOSPITAL DISTRICT                   </t>
  </si>
  <si>
    <t>343723801</t>
  </si>
  <si>
    <t>1427472463</t>
  </si>
  <si>
    <t xml:space="preserve">RESOLUTE HOSPITAL COMPANY LLC-                                                  </t>
  </si>
  <si>
    <t>193399601</t>
  </si>
  <si>
    <t>1629138029</t>
  </si>
  <si>
    <t xml:space="preserve">ROCKWALL REGIONAL HOSPITAL LLC-TEXAS HEALTH PRESBYTERIAN HOSPITAL ROCKWALL       </t>
  </si>
  <si>
    <t>150967102</t>
  </si>
  <si>
    <t>1013993559</t>
  </si>
  <si>
    <t xml:space="preserve">SCCI HOSPITAL EL PASO  LLC-KINDRED HOSPITAL EL PASO                          </t>
  </si>
  <si>
    <t>220798701</t>
  </si>
  <si>
    <t>1326349986</t>
  </si>
  <si>
    <t xml:space="preserve">SCOTT AND WHITE HOSPITAL - LLANO-BAYLOR SCOTT AND WHITE MEDICAL CENTER - LLANO     </t>
  </si>
  <si>
    <t>353712801</t>
  </si>
  <si>
    <t>1396138970</t>
  </si>
  <si>
    <t xml:space="preserve">SCOTT &amp; WHITE HOSPITAL-MARBLE FALLS-BAYLOR SCOTT &amp; WHITE MEDICAL CENTER-MARBLE FALLS  </t>
  </si>
  <si>
    <t>358597801</t>
  </si>
  <si>
    <t>1184029811</t>
  </si>
  <si>
    <t xml:space="preserve">SELECT SPECIALITY HOSPITAL-DALLAS, INC-                                                  </t>
  </si>
  <si>
    <t>194036301</t>
  </si>
  <si>
    <t>1063411239</t>
  </si>
  <si>
    <t xml:space="preserve">SELECT SPECIALTY HOSPITAL DALLAS INC-DALLAS SPECIALTY HOSPITAL DALLAS INC              </t>
  </si>
  <si>
    <t>197824901</t>
  </si>
  <si>
    <t>1861492670</t>
  </si>
  <si>
    <t xml:space="preserve">SELECT SPECIALTY HOSPITAL LONGVIEW INC-SELECT SPECIALTY HOSPITAL LONGVIEW                </t>
  </si>
  <si>
    <t>158980601</t>
  </si>
  <si>
    <t>1124137054</t>
  </si>
  <si>
    <t xml:space="preserve">SETON FAMILY OF HOSPITALS-ASCENSION SETON NORTHWEST                         </t>
  </si>
  <si>
    <t>158977201</t>
  </si>
  <si>
    <t>1750499273</t>
  </si>
  <si>
    <t xml:space="preserve">SETON FAMILY OF HOSPITALS-SETON SOUTHWEST HOSPITAL                          </t>
  </si>
  <si>
    <t>186599001</t>
  </si>
  <si>
    <t>1447355771</t>
  </si>
  <si>
    <t xml:space="preserve">SETON HEALTHCARE-DELL CHILDRENS MEDICAL CENTER                     </t>
  </si>
  <si>
    <t>298213401</t>
  </si>
  <si>
    <t>1518000306</t>
  </si>
  <si>
    <t xml:space="preserve">SHRINERS HOSPITAL FOR CHILDREN-                                                  </t>
  </si>
  <si>
    <t>293388901</t>
  </si>
  <si>
    <t>1669513941</t>
  </si>
  <si>
    <t xml:space="preserve">SHRINERS HOSPITALS FOR CHILDREN-                                                  </t>
  </si>
  <si>
    <t>190895601</t>
  </si>
  <si>
    <t>1598710592</t>
  </si>
  <si>
    <t xml:space="preserve">SOLARA HOSPITAL HARLINGEN-SOLARA SPECIALTY HOSPITALS HARLINGEN BROWNSVILLE  </t>
  </si>
  <si>
    <t>171461001</t>
  </si>
  <si>
    <t>1629064928</t>
  </si>
  <si>
    <t xml:space="preserve">SOUTHLAKE SPECIALTY HOSPITAL LLC-TEXAS HEALTH HARRIS METHODIST HOSPITAL SOUTHLAKE  </t>
  </si>
  <si>
    <t>388758001</t>
  </si>
  <si>
    <t>1962900472</t>
  </si>
  <si>
    <t xml:space="preserve">SPECIALTY HOSPITAL LLC-UT HEALTH EAST TEXAS SPECIALTY HOSPITAL           </t>
  </si>
  <si>
    <t>298019501</t>
  </si>
  <si>
    <t>1659559573</t>
  </si>
  <si>
    <t xml:space="preserve">ST. LUKE'S COMMUNITY DEVELOPMENT CORPORATION-SUGAR-ST. LUKE'S SUGAR LAND HOSPITAL                    </t>
  </si>
  <si>
    <t>021017101</t>
  </si>
  <si>
    <t>1043389034</t>
  </si>
  <si>
    <t xml:space="preserve">THC HOUSTON LLC-KINDRED HOSPITAL HOUSTON NORTHWEST                </t>
  </si>
  <si>
    <t>210274101</t>
  </si>
  <si>
    <t>1184868879</t>
  </si>
  <si>
    <t xml:space="preserve">ST LUKES LAKESIDE HOSPITAL LLC-ST LUKES LAKESIDE HOSPITAL                        </t>
  </si>
  <si>
    <t>281219001</t>
  </si>
  <si>
    <t>1407990088</t>
  </si>
  <si>
    <t xml:space="preserve">ST LUKES PATIENTS MEDICAL CENTER-                                                  </t>
  </si>
  <si>
    <t>176692501</t>
  </si>
  <si>
    <t>1659362630</t>
  </si>
  <si>
    <t xml:space="preserve">ST MARKS MEDICAL CENTER                           </t>
  </si>
  <si>
    <t>139135109</t>
  </si>
  <si>
    <t>1477643690</t>
  </si>
  <si>
    <t xml:space="preserve">TEXAS CHILDRENS HOSPITAL                          </t>
  </si>
  <si>
    <t>020982701</t>
  </si>
  <si>
    <t>1548291883</t>
  </si>
  <si>
    <t xml:space="preserve">TEXAS HEALTH PRESBYTERIAN HOSPITAL ALLEN-                                                  </t>
  </si>
  <si>
    <t>185556101</t>
  </si>
  <si>
    <t>1962504340</t>
  </si>
  <si>
    <t xml:space="preserve">TEXAS HEART HOSPITAL OF THE SOUTHWEST LLP-BAYLOR SCOTT &amp; WHITE THE HEART HOSPITAL PLANO     </t>
  </si>
  <si>
    <t>209719801</t>
  </si>
  <si>
    <t>1255579389</t>
  </si>
  <si>
    <t xml:space="preserve">TEXAS REGIONAL MEDICAL CENTER LTD-TEXAS REGIONAL MEDICAL CENTER AT SUNNYVALE        </t>
  </si>
  <si>
    <t>315440301</t>
  </si>
  <si>
    <t>1760628184</t>
  </si>
  <si>
    <t xml:space="preserve">TEXAS SCOTTISH RITE HOSPITAL FOR CRIPPLED CHILDREN-                                                  </t>
  </si>
  <si>
    <t>162459501</t>
  </si>
  <si>
    <t>1942292255</t>
  </si>
  <si>
    <t xml:space="preserve">TEXAS SPINE AND JOINT HOSPITAL LTD                </t>
  </si>
  <si>
    <t>330388501</t>
  </si>
  <si>
    <t>1194753590</t>
  </si>
  <si>
    <t xml:space="preserve">THHBP MANAGEMENT COMPANY LLC-BAYLOR SCOTT AND WHITE THE HEART HOSPITAL DENTON  </t>
  </si>
  <si>
    <t xml:space="preserve">MCALLEN HOSPITALS LP-EDINBURG HOSPITAL REHAB                           </t>
  </si>
  <si>
    <t>149047601</t>
  </si>
  <si>
    <t>1609876309</t>
  </si>
  <si>
    <t xml:space="preserve">TRIUMPH HOSPITAL OF EAST HOUSTON LP-KINDRED HOSPITAL CLEAR LAKE                       </t>
  </si>
  <si>
    <t>094354003</t>
  </si>
  <si>
    <t>1285626028</t>
  </si>
  <si>
    <t xml:space="preserve">TRIUMPH HOSPITAL OF NORTH HOUSTON LP-KINDRED HOSPITAL TOMBALL                          </t>
  </si>
  <si>
    <t>157203401</t>
  </si>
  <si>
    <t>1720088412</t>
  </si>
  <si>
    <t xml:space="preserve">TRIUMPH SOUTHWEST LP-KINDRED HOSPITAL SUGAR LAND                       </t>
  </si>
  <si>
    <t>172620001</t>
  </si>
  <si>
    <t>1982609558</t>
  </si>
  <si>
    <t xml:space="preserve">TROPHY CLUB MEDICAL CENTER LP                     </t>
  </si>
  <si>
    <t>388347201</t>
  </si>
  <si>
    <t>1407364847</t>
  </si>
  <si>
    <t xml:space="preserve">TYLER REGIONAL HOSPITAL LLC-UT HEALTH EAST TEXAS TYLER REGIONAL HOSPITAL      </t>
  </si>
  <si>
    <t>135237906</t>
  </si>
  <si>
    <t>1023013448</t>
  </si>
  <si>
    <t xml:space="preserve">UNITED REGIONAL HEALTHCARE                        </t>
  </si>
  <si>
    <t>175287501</t>
  </si>
  <si>
    <t>1285798918</t>
  </si>
  <si>
    <t>UNIVERSITY OF TEXAS SOUTHWESTERN MEDICAL CENTER AT-UNIVERSITY OF TEXAS SOUTHWESTERN UNIVERSITY HOSPTI</t>
  </si>
  <si>
    <t>162965101</t>
  </si>
  <si>
    <t>1659352987</t>
  </si>
  <si>
    <t xml:space="preserve">USMD HOSPITAL AT ARLINGTON LP                     </t>
  </si>
  <si>
    <t>121782009</t>
  </si>
  <si>
    <t>1740288505</t>
  </si>
  <si>
    <t xml:space="preserve">UVALDE COUNTY HOSPITAL AUTHORITY-UVALDE MEMORIAL HOSPITAL                          </t>
  </si>
  <si>
    <t>334801301</t>
  </si>
  <si>
    <t>1063844306</t>
  </si>
  <si>
    <t xml:space="preserve">VIBRA HOSPITAL OF AMARILLO LLC-VIBRA HOSPITAL OF AMARILLO                        </t>
  </si>
  <si>
    <t xml:space="preserve">VICTORIA OF TEXAS LP-DETAR HOSPITAL NAVARRO NORTH PSYCH UNIT           </t>
  </si>
  <si>
    <t>094207002</t>
  </si>
  <si>
    <t>1770514077</t>
  </si>
  <si>
    <t xml:space="preserve">TEXAS HEALTH PRESBYTERIAN HOSPTAL PLANO-                                                  </t>
  </si>
  <si>
    <t>020981901</t>
  </si>
  <si>
    <t>1891718789</t>
  </si>
  <si>
    <t xml:space="preserve">VISTA COMMUNITY MEDICAL CENTER HOSPITAL LLP-SURGERY SPECIALTY HOSPITAL OF AMERICA SE HOUSTON  </t>
  </si>
  <si>
    <t>326690001</t>
  </si>
  <si>
    <t>1629037163</t>
  </si>
  <si>
    <t xml:space="preserve">WARM SPRINGS SPECIALTY HOSPITAL OF SAN ANTONIO LLC-PAM SPECIALTY HOSPITAL OF SAN ANTONIO             </t>
  </si>
  <si>
    <t>Bexar</t>
  </si>
  <si>
    <t>094381301</t>
  </si>
  <si>
    <t>1033107826</t>
  </si>
  <si>
    <t xml:space="preserve">INTRACARE HOSPITAL NORTH-INTRACARE NORTH HOSPITAL                          </t>
  </si>
  <si>
    <t>402628801</t>
  </si>
  <si>
    <t>1730183658</t>
  </si>
  <si>
    <t xml:space="preserve">WINKLER COUNTY HOSPITAL DISTRICT-WINKLER COUNTY MEMORIAL HOSPITAL                  </t>
  </si>
  <si>
    <t>112705203</t>
  </si>
  <si>
    <t>1851344162</t>
  </si>
  <si>
    <t xml:space="preserve">ABILENE REGIONAL MEDICAL CENTER                   </t>
  </si>
  <si>
    <t>127298107</t>
  </si>
  <si>
    <t>1174563779</t>
  </si>
  <si>
    <t xml:space="preserve">ANDREWS COUNTY HOSPITAL DISTRICT                  </t>
  </si>
  <si>
    <t>130089906</t>
  </si>
  <si>
    <t>1225038938</t>
  </si>
  <si>
    <t xml:space="preserve">BALLINGER MEMORIAL HOSPITAL                       </t>
  </si>
  <si>
    <t>094148602</t>
  </si>
  <si>
    <t>1093744187</t>
  </si>
  <si>
    <t xml:space="preserve">BAPTIST HOSPITALS OF SOUTHEAST TEXAS-MEMORIAL HERMANN BAPTIST BEAUMONT HOSPITAL        </t>
  </si>
  <si>
    <t>020973601</t>
  </si>
  <si>
    <t>1508810573</t>
  </si>
  <si>
    <t xml:space="preserve">BAY AREA HEALTHCARE GROUP, LTD-CORPUS CHRISTI MEDICAL CENTER                     </t>
  </si>
  <si>
    <t>135036506</t>
  </si>
  <si>
    <t>1669472387</t>
  </si>
  <si>
    <t>BAYLOR ALL SAINTS MEDICAL CENTER-BAYLOR SCOTT &amp; WHITE ALL SAINTS MEDICAL CENTER FOR</t>
  </si>
  <si>
    <t>138353107</t>
  </si>
  <si>
    <t>1194893263</t>
  </si>
  <si>
    <t xml:space="preserve">BAYLOR COUNTY HOSPITAL DISTRICT-SEYMOUR HOSPITAL                                  </t>
  </si>
  <si>
    <t>110803703</t>
  </si>
  <si>
    <t>1770579591</t>
  </si>
  <si>
    <t xml:space="preserve">FORT DUNCAN REGIONAL MEDICAL CENTER LP-FORT DUNCAN REGIONAL MEDICAL CENTER               </t>
  </si>
  <si>
    <t>135223905</t>
  </si>
  <si>
    <t>1265430177</t>
  </si>
  <si>
    <t xml:space="preserve">BAYLOR MEDICAL CENTER AT WAXAHACHIE               </t>
  </si>
  <si>
    <t>171848805</t>
  </si>
  <si>
    <t>1649273434</t>
  </si>
  <si>
    <t xml:space="preserve">BAYLOR REGIONAL MEDICAL CENTER AT PLANO-                                                  </t>
  </si>
  <si>
    <t>139485012</t>
  </si>
  <si>
    <t>1447250253</t>
  </si>
  <si>
    <t xml:space="preserve">BAYLOR UNIVERSITY MEDICAL CENTER                  </t>
  </si>
  <si>
    <t>020993401</t>
  </si>
  <si>
    <t>1174522494</t>
  </si>
  <si>
    <t xml:space="preserve">BAYSIDE COMMUNITY HOSPITAL-                                                  </t>
  </si>
  <si>
    <t>083290905</t>
  </si>
  <si>
    <t>1477857332</t>
  </si>
  <si>
    <t xml:space="preserve">BELLVILLE ST JOSEPH HEALTH CENTER-                                                  </t>
  </si>
  <si>
    <t>094224503</t>
  </si>
  <si>
    <t>1356312243</t>
  </si>
  <si>
    <t xml:space="preserve">BIG BEND REGIONAL MEDICAL CENTER                  </t>
  </si>
  <si>
    <t>207311601</t>
  </si>
  <si>
    <t>1114903523</t>
  </si>
  <si>
    <t xml:space="preserve">BRIM HEALTHCARE OF TEXAS LLC-WADLEY REGIONAL MEDICAL CENTER                    </t>
  </si>
  <si>
    <t>020930601</t>
  </si>
  <si>
    <t>1679526982</t>
  </si>
  <si>
    <t xml:space="preserve">BROWNWOOD REGIONAL MEDICAL CENTER                 </t>
  </si>
  <si>
    <t>112725003</t>
  </si>
  <si>
    <t>1750377289</t>
  </si>
  <si>
    <t xml:space="preserve">BURLESON ST JOSEPH HEALTH CENTER-BURLESON ST. JOSEPH HEALTH CENTER                 </t>
  </si>
  <si>
    <t>212060201</t>
  </si>
  <si>
    <t>1205164928</t>
  </si>
  <si>
    <t xml:space="preserve">CAHRMC LLC-RICE MEDICAL CENTER                               </t>
  </si>
  <si>
    <t>136142011</t>
  </si>
  <si>
    <t>1033118716</t>
  </si>
  <si>
    <t xml:space="preserve">CASTRO COUNTY HOSPITAL DISTRICT-PLAINS MEMORIAL HOSPITAL                          </t>
  </si>
  <si>
    <t>211970301</t>
  </si>
  <si>
    <t>1013142553</t>
  </si>
  <si>
    <t xml:space="preserve">CBSH,LLC-                                                  </t>
  </si>
  <si>
    <t>192622201</t>
  </si>
  <si>
    <t>1376662296</t>
  </si>
  <si>
    <t xml:space="preserve">CEDAR PARK REGIONAL MEDICAL CENTER                </t>
  </si>
  <si>
    <t>020817501</t>
  </si>
  <si>
    <t>1174576698</t>
  </si>
  <si>
    <t xml:space="preserve">CHCA BAYSHORE LP-HCA HOUSTON HEALTHCARE SOUTHEAST                  </t>
  </si>
  <si>
    <t>121807504</t>
  </si>
  <si>
    <t>1063466035</t>
  </si>
  <si>
    <t xml:space="preserve">CHCA CLEAR LAKE  LP-HCA HOUSTON HEALTHCARE CLEAR LAKE                 </t>
  </si>
  <si>
    <t>020841501</t>
  </si>
  <si>
    <t>1962455816</t>
  </si>
  <si>
    <t xml:space="preserve">CHCA CONROE LP-HCA HOUSTON HEALTHCARE CONROE                     </t>
  </si>
  <si>
    <t>349366001</t>
  </si>
  <si>
    <t>1609275585</t>
  </si>
  <si>
    <t xml:space="preserve">CHCA PEARLAND, LP-HCA HOUSTON HEALTHCARE PEARLAND                   </t>
  </si>
  <si>
    <t>094187402</t>
  </si>
  <si>
    <t>1275580938</t>
  </si>
  <si>
    <t xml:space="preserve">CHCA WEST HOUSTON LP-HCA HOUSTON HEALTHCARE WEST                       </t>
  </si>
  <si>
    <t>112712802</t>
  </si>
  <si>
    <t>1023065794</t>
  </si>
  <si>
    <t xml:space="preserve">CHCA WOMANS HOSPITAL LP-THE WOMANS HOSPITAL OF TEXAS                      </t>
  </si>
  <si>
    <t>357216601</t>
  </si>
  <si>
    <t>1073901476</t>
  </si>
  <si>
    <t xml:space="preserve">CHG HOSPITAL CONROE LLC-CORNERSTONE SPECIALTY HOSPITALS CONROE            </t>
  </si>
  <si>
    <t>358588701</t>
  </si>
  <si>
    <t>1457730426</t>
  </si>
  <si>
    <t xml:space="preserve">CHG HOSPITAL HOUSTON LLC-CORNERSTONE SPECIALTY HOSPITALS BELLAIRE          </t>
  </si>
  <si>
    <t>355796901</t>
  </si>
  <si>
    <t>1760870166</t>
  </si>
  <si>
    <t xml:space="preserve">CHG HOSPITAL MCALLEN LLC-SOLARA SPECIALTY HOSPITALS MCALLEN                </t>
  </si>
  <si>
    <t>357053301</t>
  </si>
  <si>
    <t>1659761815</t>
  </si>
  <si>
    <t xml:space="preserve">CHG HOSPITAL MEDICAL CENTER LLC-CORNERSTONE SPECIATLY HOSPITALS MEDICAL CENTER    </t>
  </si>
  <si>
    <t>133250406</t>
  </si>
  <si>
    <t>1326079534</t>
  </si>
  <si>
    <t xml:space="preserve">CHILDRESS COUNTY HOSPITAL DISTRICT-CHILDRESS REGIONAL MEDICAL CENTER                 </t>
  </si>
  <si>
    <t>112679902</t>
  </si>
  <si>
    <t>1205833985</t>
  </si>
  <si>
    <t xml:space="preserve">MISSION HOSPITAL INC-MISSION REGIONAL MEDICAL CENTER                   </t>
  </si>
  <si>
    <t>138296208</t>
  </si>
  <si>
    <t>1679557888</t>
  </si>
  <si>
    <t xml:space="preserve">CHRISTUS HEALTH SOUTHEAST TEXAS-CHRISTUS HOSPITAL                                 </t>
  </si>
  <si>
    <t>366812101</t>
  </si>
  <si>
    <t>1033568621</t>
  </si>
  <si>
    <t>CHRISTUS HOPKINS HEALTH ALLIANCE-CHRISTUS MOTHER FRANCES HOSPITAL - SULPHUR SPRINGS</t>
  </si>
  <si>
    <t>112706003</t>
  </si>
  <si>
    <t>1598749707</t>
  </si>
  <si>
    <t xml:space="preserve">CHRISTUS JASPER MEMORIAL HOSPITAL-                                                  </t>
  </si>
  <si>
    <t>020811801</t>
  </si>
  <si>
    <t>1447228747</t>
  </si>
  <si>
    <t xml:space="preserve">CHRISTUS SPOHN HEALTH SYSTEM CORPORATION-CHRISTUS SPOHN HOSPITAL BEEVILLE                  </t>
  </si>
  <si>
    <t>112698903</t>
  </si>
  <si>
    <t>1437102639</t>
  </si>
  <si>
    <t xml:space="preserve">COLUMBIA MEDICAL CENTER OF MCKINNEY SUBSIDIARY LP-MEDICAL CENTER OF MCKINNEY                        </t>
  </si>
  <si>
    <t>136436606</t>
  </si>
  <si>
    <t>1093783391</t>
  </si>
  <si>
    <t xml:space="preserve">CHRISTUS SPOHN HEALTH SYSTEM CORPORATION-CHRISTUS SPOHN HOSPITAL KLEBERG                   </t>
  </si>
  <si>
    <t>137907508</t>
  </si>
  <si>
    <t>1124052162</t>
  </si>
  <si>
    <t xml:space="preserve">CITIZENS MEDICAL CENTER COUNTY OF VICTORIA-CITIZENS MEDICAL CENTER                           </t>
  </si>
  <si>
    <t>094138703</t>
  </si>
  <si>
    <t>1437156361</t>
  </si>
  <si>
    <t xml:space="preserve">CLAY COUNTY MEMORIAL HOSPITAL                     </t>
  </si>
  <si>
    <t>094152803</t>
  </si>
  <si>
    <t>1942314448</t>
  </si>
  <si>
    <t xml:space="preserve">COCHRAN MEMORIAL HOSPITAL                         </t>
  </si>
  <si>
    <t>112707808</t>
  </si>
  <si>
    <t>1316931835</t>
  </si>
  <si>
    <t xml:space="preserve">WILBARGER COUNTY HOSPITAL DISTRICT-WILBARGER GENERAL HOSPITAL                        </t>
  </si>
  <si>
    <t>020950401</t>
  </si>
  <si>
    <t>1134172406</t>
  </si>
  <si>
    <t xml:space="preserve">COLUMBIA MEDICAL CENTER OF ARLINGTON SUBSIDIARY LP-MEDICAL CENTER OF ARLINGTON                       </t>
  </si>
  <si>
    <t>111905902</t>
  </si>
  <si>
    <t>1306897277</t>
  </si>
  <si>
    <t xml:space="preserve">COLUMBIA MEDICAL CENTER OF DENTON SUBSIDIARY LP-DENTON REGIONAL MEDICAL CENTER                    </t>
  </si>
  <si>
    <t>020979302</t>
  </si>
  <si>
    <t>1902857766</t>
  </si>
  <si>
    <t xml:space="preserve">COLUMBIA MEDICAL CENTER OF LAS COLINAS, INC-LAS COLINAS MEDICAL CENTER                        </t>
  </si>
  <si>
    <t>127311205</t>
  </si>
  <si>
    <t>1699726406</t>
  </si>
  <si>
    <t xml:space="preserve">COLUMBIA MEDICAL CENTER OF PLANO LP-MEDICAL CENTER OF PLANO                           </t>
  </si>
  <si>
    <t>094105602</t>
  </si>
  <si>
    <t>1518911833</t>
  </si>
  <si>
    <t xml:space="preserve">COLUMBIA NORTH HILLS HOSPITAL-COLUMBIA NORTH HILLS HOSPITA                      </t>
  </si>
  <si>
    <t>094193202</t>
  </si>
  <si>
    <t>1659323772</t>
  </si>
  <si>
    <t xml:space="preserve">COLUMBIA PLAZA MED CTR OF FT WORTH SUBSIDIARY LP-PLAZA MEDICAL CENTER OF FORT WORTH                </t>
  </si>
  <si>
    <t>112716902</t>
  </si>
  <si>
    <t>1619924719</t>
  </si>
  <si>
    <t xml:space="preserve">COLUMBIA RIO GRANDE HEALTHCARE LP-RIO GRANDE REGIONAL HOSPITAL                      </t>
  </si>
  <si>
    <t>020947001</t>
  </si>
  <si>
    <t>1043267701</t>
  </si>
  <si>
    <t xml:space="preserve">COLUMBIA VALLEY HEALTHCARE SYSTEMS LP-VALLEY REGIONAL MEDICAL CENTER                    </t>
  </si>
  <si>
    <t>112671602</t>
  </si>
  <si>
    <t>1972581940</t>
  </si>
  <si>
    <t xml:space="preserve">COMMUNITY HOSPITAL OF BRAZOSPORT-BRAZOSPORT REGIONAL HEALTH SYSTEM                 </t>
  </si>
  <si>
    <t>091770005</t>
  </si>
  <si>
    <t>1326025701</t>
  </si>
  <si>
    <t xml:space="preserve">CONCHO COUNTY HOSPITAL                            </t>
  </si>
  <si>
    <t>364396701</t>
  </si>
  <si>
    <t>1992709661</t>
  </si>
  <si>
    <t xml:space="preserve">CONTINUECARE HOSPITAL AT HENDRICK MEDICAL CENTER-CONTINUE CARE HOSPITAL AT HENDRICK MEDICAL CENTER </t>
  </si>
  <si>
    <t>130826407</t>
  </si>
  <si>
    <t>1639176456</t>
  </si>
  <si>
    <t xml:space="preserve">COON MEMORIAL HOSPITAL                            </t>
  </si>
  <si>
    <t>313347201</t>
  </si>
  <si>
    <t>1235374612</t>
  </si>
  <si>
    <t xml:space="preserve">CORINTH INVESTOR HOLDINGS LLC-                                                  </t>
  </si>
  <si>
    <t>094221102</t>
  </si>
  <si>
    <t>1386652527</t>
  </si>
  <si>
    <t xml:space="preserve">CORNERSTONE REGIONAL HOSPITAL                     </t>
  </si>
  <si>
    <t>136331910</t>
  </si>
  <si>
    <t>1720096019</t>
  </si>
  <si>
    <t xml:space="preserve">COUNTY OF WARD-WARD MEMORIAL HOSPITAL                            </t>
  </si>
  <si>
    <t>137227806</t>
  </si>
  <si>
    <t>1790702371</t>
  </si>
  <si>
    <t xml:space="preserve">COUNTY OF YOAKUM-YOAKUM COUNTY HOSPITAL                            </t>
  </si>
  <si>
    <t>139461107</t>
  </si>
  <si>
    <t>1972517365</t>
  </si>
  <si>
    <t xml:space="preserve">COVENANT HEALTH SYSTEM-COVENANT MEDICAL CENTER                           </t>
  </si>
  <si>
    <t>199602701</t>
  </si>
  <si>
    <t>1316197767</t>
  </si>
  <si>
    <t xml:space="preserve">CRANE COUNTY HOSPITAL DISTRICT-CRANE MEMORIAL HOSPITAL                           </t>
  </si>
  <si>
    <t>094141105</t>
  </si>
  <si>
    <t>1063500270</t>
  </si>
  <si>
    <t xml:space="preserve">CROSBYTON CLINIC HOSPITAL                         </t>
  </si>
  <si>
    <t>219336901</t>
  </si>
  <si>
    <t>1861690364</t>
  </si>
  <si>
    <t xml:space="preserve">DALLAS MEDICAL CENTER LLC-                                                  </t>
  </si>
  <si>
    <t>133544006</t>
  </si>
  <si>
    <t>1568454403</t>
  </si>
  <si>
    <t xml:space="preserve">DEAF SMITH COUNTY HOSPITAL DISTRICT-HEREFORD REGIONAL MEDICAL CENTER                  </t>
  </si>
  <si>
    <t>364597001</t>
  </si>
  <si>
    <t>1407229529</t>
  </si>
  <si>
    <t xml:space="preserve">DECATUR HOSPITAL AUTHORITY-WISE HEALTH SYSTEM                                </t>
  </si>
  <si>
    <t>112727605</t>
  </si>
  <si>
    <t>1891741468</t>
  </si>
  <si>
    <t xml:space="preserve">DOCTORS HOSPITAL 1997 LP-UNITED MEMORIAL MEDICAL CENTER                    </t>
  </si>
  <si>
    <t>137074409</t>
  </si>
  <si>
    <t>1689650921</t>
  </si>
  <si>
    <t xml:space="preserve">EASTLAND MEMORIAL HOSPITAL DISTRICT-EASTLAND MEMORIAL HOSPITAL                        </t>
  </si>
  <si>
    <t>121053602</t>
  </si>
  <si>
    <t>1487639175</t>
  </si>
  <si>
    <t xml:space="preserve">KNOX COUNTY HOSPITAL DISTRICT-KNOX COUNTY HOSPITAL                              </t>
  </si>
  <si>
    <t>135034009</t>
  </si>
  <si>
    <t>1871583153</t>
  </si>
  <si>
    <t xml:space="preserve">ELECTRA HOSPITAL DISTRICT-ELECTRA MEMORIAL HOSPITAL                         </t>
  </si>
  <si>
    <t>138951211</t>
  </si>
  <si>
    <t>1316936990</t>
  </si>
  <si>
    <t xml:space="preserve">EL PASO COUNTY HOSPITAL DISTRICT-UNIVERSITY MEDICAL CENTER OF EL PASO              </t>
  </si>
  <si>
    <t>094109802</t>
  </si>
  <si>
    <t>1770536120</t>
  </si>
  <si>
    <t xml:space="preserve">EL PASO HEALTHCARE SYSTEM LTD-LAS PALMAS MEDICAL CENTER                         </t>
  </si>
  <si>
    <t>133367602</t>
  </si>
  <si>
    <t>1841294246</t>
  </si>
  <si>
    <t xml:space="preserve">FALLS COMMUNITY HOSPITAL AND CLINIC               </t>
  </si>
  <si>
    <t>112692202</t>
  </si>
  <si>
    <t>1598746703</t>
  </si>
  <si>
    <t xml:space="preserve">FISHER COUNTY HOSPITAL-FISHER COUNTY HOSPITAL DISTRICT                   </t>
  </si>
  <si>
    <t>112688004</t>
  </si>
  <si>
    <t>1447574819</t>
  </si>
  <si>
    <t xml:space="preserve">FRIO HOSPITAL-FRIO REGIONAL SWING BED                           </t>
  </si>
  <si>
    <t>112728403</t>
  </si>
  <si>
    <t>1083619712</t>
  </si>
  <si>
    <t xml:space="preserve">GENERAL HOSPITAL-IRAAN GENERAL HOSPITAL                            </t>
  </si>
  <si>
    <t>121785303</t>
  </si>
  <si>
    <t>1932108214</t>
  </si>
  <si>
    <t xml:space="preserve">GONZALES HEALTHCARE SYSTEMS-MEMORIAL HOSPITAL                                 </t>
  </si>
  <si>
    <t>197063401</t>
  </si>
  <si>
    <t>1841497153</t>
  </si>
  <si>
    <t xml:space="preserve">GPCH LLC-GOLDEN PLAINS COMMUNITY HOSPITAL                  </t>
  </si>
  <si>
    <t>147918003</t>
  </si>
  <si>
    <t>1154317774</t>
  </si>
  <si>
    <t xml:space="preserve">GRIMES ST JOSEPH HEALTH CENTER                    </t>
  </si>
  <si>
    <t xml:space="preserve">CHRISTUS SPOHN HEALTH SYSTEM CORPORATION-CHRISTUS SPOHN HOSPITAL CORPUS CHRISTI            </t>
  </si>
  <si>
    <t>110856504</t>
  </si>
  <si>
    <t>1134137466</t>
  </si>
  <si>
    <t xml:space="preserve">HAMILTON HOSPITAL                                 </t>
  </si>
  <si>
    <t>094117105</t>
  </si>
  <si>
    <t>1992707780</t>
  </si>
  <si>
    <t xml:space="preserve">HANSFORD COUNTY HOSPITAL DISTRICT-HANSFORD COUNTY HOSPITAL                          </t>
  </si>
  <si>
    <t>121692107</t>
  </si>
  <si>
    <t>1861510521</t>
  </si>
  <si>
    <t xml:space="preserve">HARDEMAN COUNTY MEMORIAL HOSPITAL                 </t>
  </si>
  <si>
    <t>133355104</t>
  </si>
  <si>
    <t>1205900370</t>
  </si>
  <si>
    <t xml:space="preserve">HARRIS COUNTY HOSPITAL DISTRICT                   </t>
  </si>
  <si>
    <t>112702904</t>
  </si>
  <si>
    <t>1184607897</t>
  </si>
  <si>
    <t xml:space="preserve">HASKELL MEMORIAL HOSPITAL                         </t>
  </si>
  <si>
    <t>109588703</t>
  </si>
  <si>
    <t>1558354241</t>
  </si>
  <si>
    <t xml:space="preserve">HEMPHILL COUNTY HOSPITAL                          </t>
  </si>
  <si>
    <t>138644310</t>
  </si>
  <si>
    <t>1528064649</t>
  </si>
  <si>
    <t xml:space="preserve">HENDRICK MEDICAL CENTER                           </t>
  </si>
  <si>
    <t>312239201</t>
  </si>
  <si>
    <t>1841562709</t>
  </si>
  <si>
    <t xml:space="preserve">HH KILLEEN HEALTH SYSTEM LLC-SETON MEDICAL CENTER HARKER HEIGHTS               </t>
  </si>
  <si>
    <t>136430906</t>
  </si>
  <si>
    <t>1497726343</t>
  </si>
  <si>
    <t xml:space="preserve">HILL COUNTRY MEMORIAL HOSPITAL-HILL COUNTRY MEMORIAL HOSP                        </t>
  </si>
  <si>
    <t>138962907</t>
  </si>
  <si>
    <t>1891882833</t>
  </si>
  <si>
    <t xml:space="preserve">HILLCREST BAPTIST MEDICAL CENTER-BAYLOR SCOTT AND WHITE MEDICAL CENTER HILLCREST   </t>
  </si>
  <si>
    <t>193867201</t>
  </si>
  <si>
    <t>1740450121</t>
  </si>
  <si>
    <t xml:space="preserve">HOUSTON NORTHWEST OPERATING COMPANY LLC-HOUSTON NORTHWEST MEDICAL CENTER                  </t>
  </si>
  <si>
    <t>131038504</t>
  </si>
  <si>
    <t>1598750721</t>
  </si>
  <si>
    <t xml:space="preserve">HUNT MEMORIAL HOSPITAL DISTRICT-HUNT REGIONAL MEDICAL CENTER                      </t>
  </si>
  <si>
    <t>119874904</t>
  </si>
  <si>
    <t>1790777696</t>
  </si>
  <si>
    <t xml:space="preserve">JACK COUNTY HOSPITAL DISTRICT-FAITH COMMUNITY HOSPITAL                          </t>
  </si>
  <si>
    <t>121808305</t>
  </si>
  <si>
    <t>1124061882</t>
  </si>
  <si>
    <t xml:space="preserve">JACKSON COUNTY HOSPITAL DISTRICT-JACKSON HEALTHCARE CENTER                         </t>
  </si>
  <si>
    <t>112724302</t>
  </si>
  <si>
    <t>1811942238</t>
  </si>
  <si>
    <t xml:space="preserve">KINGWOOD PLAZA HOSPITAL-HCA HOUSTON HEALTHCARE KINGWOOD                   </t>
  </si>
  <si>
    <t>135035706</t>
  </si>
  <si>
    <t>1861488579</t>
  </si>
  <si>
    <t xml:space="preserve">KNAPP MEDICAL CENTER                              </t>
  </si>
  <si>
    <t>366222301</t>
  </si>
  <si>
    <t>1558721365</t>
  </si>
  <si>
    <t xml:space="preserve">KND DEVELOPMENT 68, LLC-KINDRED HOSPITAL - SAN ANTONIO CENTRAL            </t>
  </si>
  <si>
    <t>094178302</t>
  </si>
  <si>
    <t>1114998911</t>
  </si>
  <si>
    <t xml:space="preserve">LAKE GRANBURY MEDICAL CENTER                      </t>
  </si>
  <si>
    <t>020966001</t>
  </si>
  <si>
    <t>1205018439</t>
  </si>
  <si>
    <t xml:space="preserve">LAKE POINTE MEDICAL CENTER-BAYLOR SCOTT &amp; WHITE MEDICAL CENTER LAKE POINTE   </t>
  </si>
  <si>
    <t>127313803</t>
  </si>
  <si>
    <t>1700854288</t>
  </si>
  <si>
    <t xml:space="preserve">LAMB HEALTHCARE CENTER                            </t>
  </si>
  <si>
    <t>162033801</t>
  </si>
  <si>
    <t>1548232044</t>
  </si>
  <si>
    <t xml:space="preserve">LAREDO MEDICAL CENTER                             </t>
  </si>
  <si>
    <t>094186602</t>
  </si>
  <si>
    <t>1396731105</t>
  </si>
  <si>
    <t xml:space="preserve">LAREDO REGIONAL MEDICAL CENTER LP-DOCTORS HOSPITAL OF LAREDO                        </t>
  </si>
  <si>
    <t>135233809</t>
  </si>
  <si>
    <t>1992767511</t>
  </si>
  <si>
    <t xml:space="preserve">LAVACA MEDICAL CENTER                             </t>
  </si>
  <si>
    <t>284333604</t>
  </si>
  <si>
    <t>1154324952</t>
  </si>
  <si>
    <t xml:space="preserve">LIBERTY COUNTY HOSPITAL DISTRICT NO 1-LIBERTY DAYTON REGIONAL MEDICAL CENTER            </t>
  </si>
  <si>
    <t>121781205</t>
  </si>
  <si>
    <t>1831140979</t>
  </si>
  <si>
    <t xml:space="preserve">LILLIAN M HUDSPETH MEMORIAL ER PHYS-LILLIAN M HUDSPETH MEMORIAL HOSPITAL              </t>
  </si>
  <si>
    <t>140714001</t>
  </si>
  <si>
    <t>1861487779</t>
  </si>
  <si>
    <t xml:space="preserve">LIMESTONE MEDICAL CENTER                          </t>
  </si>
  <si>
    <t>110839103</t>
  </si>
  <si>
    <t>1528026267</t>
  </si>
  <si>
    <t xml:space="preserve">LONGVIEW MEDICAL CENTER LP-LONGVIEW REGIONAL MEDICAL CENTER                  </t>
  </si>
  <si>
    <t>281514401</t>
  </si>
  <si>
    <t>1225289499</t>
  </si>
  <si>
    <t xml:space="preserve">LUBBOCK HERITAGE HOSPITAL LLC-GRACE MEDICAL CENTER                              </t>
  </si>
  <si>
    <t>094180903</t>
  </si>
  <si>
    <t>1821066820</t>
  </si>
  <si>
    <t xml:space="preserve">LYNN COUNTY HOSPITAL-LYNN COUNTY HOSPITAL DISTRICT                     </t>
  </si>
  <si>
    <t>020990001</t>
  </si>
  <si>
    <t>1780731737</t>
  </si>
  <si>
    <t xml:space="preserve">MADISON ST JOSEPH HEALTH CENTER                   </t>
  </si>
  <si>
    <t>136145310</t>
  </si>
  <si>
    <t>1679560866</t>
  </si>
  <si>
    <t xml:space="preserve">MARTIN COUNTY HOSPITAL DISTRICT                   </t>
  </si>
  <si>
    <t>130959304</t>
  </si>
  <si>
    <t>1679678767</t>
  </si>
  <si>
    <t xml:space="preserve">MATAGORDA COUNTY HOSPITAL DISTRICT-MATAGORDA REGIONAL MEDICAL CENTER                 </t>
  </si>
  <si>
    <t>094172602</t>
  </si>
  <si>
    <t>1023013935</t>
  </si>
  <si>
    <t xml:space="preserve">MCCAMEY HOSPITAL                                  </t>
  </si>
  <si>
    <t>094192402</t>
  </si>
  <si>
    <t>1255384533</t>
  </si>
  <si>
    <t xml:space="preserve">MEDICAL CENTER OF LEWISVILLE SUBSIDIARY LP-MEDICAL CENTER OF LEWISVILLE                      </t>
  </si>
  <si>
    <t>212140201</t>
  </si>
  <si>
    <t>1427048453</t>
  </si>
  <si>
    <t>MEDINA COUNTY HOSPITAL DISTRICT-MEDINA HEALTHCARE SYSTEM,MEDINA REGIONAL HOSPITAL,</t>
  </si>
  <si>
    <t xml:space="preserve">ADVENTIST HEALTH SYSTEM SUNBELT INC-                                                  </t>
  </si>
  <si>
    <t>137805107</t>
  </si>
  <si>
    <t>1982666111</t>
  </si>
  <si>
    <t xml:space="preserve">MEMORIAL HERMANN HOSPITAL SYSTEM-MHHS HERMANN HOSPITAL                             </t>
  </si>
  <si>
    <t>020934801</t>
  </si>
  <si>
    <t>1740233782</t>
  </si>
  <si>
    <t xml:space="preserve">MEMORIAL HERMANN HOSPITAL SYSTEM-MHHS MEMORIAL CITY HOSPITAL                       </t>
  </si>
  <si>
    <t>201645301</t>
  </si>
  <si>
    <t>1033114608</t>
  </si>
  <si>
    <t xml:space="preserve">MEMORIAL HERMANN SUGAR LAND SURGICAL HOSPITAL LLP-SUGAR LAND SURGICAL HOSPITAL                      </t>
  </si>
  <si>
    <t>094121303</t>
  </si>
  <si>
    <t>1821025990</t>
  </si>
  <si>
    <t xml:space="preserve">MEMORIAL HOSPITAL                                 </t>
  </si>
  <si>
    <t>112697102</t>
  </si>
  <si>
    <t>1689650616</t>
  </si>
  <si>
    <t xml:space="preserve">MEMORIAL HOSP OF POLK COUNTY-CHI ST LUKES HEALTH MEMORIAL LIVINGSTON           </t>
  </si>
  <si>
    <t>137909111</t>
  </si>
  <si>
    <t>1689630865</t>
  </si>
  <si>
    <t xml:space="preserve">MEMORIAL MEDICAL CENTER                           </t>
  </si>
  <si>
    <t>139172412</t>
  </si>
  <si>
    <t>1396746129</t>
  </si>
  <si>
    <t xml:space="preserve">MEMORIAL MEDICAL CENTER OF EAST TEXAS-MEMORIAL MED CTR OF EAST TX                       </t>
  </si>
  <si>
    <t>130734007</t>
  </si>
  <si>
    <t>1578547345</t>
  </si>
  <si>
    <t xml:space="preserve">MEMORIAL MEDICAL CENTER SAN AUGUSTINE             </t>
  </si>
  <si>
    <t>121820803</t>
  </si>
  <si>
    <t>1871560003</t>
  </si>
  <si>
    <t xml:space="preserve">METHODIST HEALTHCARE SYSTEM OF SAN ANTONIO LTD LLP-METHODIST AMBULATORY SURGERY                      </t>
  </si>
  <si>
    <t>379200401</t>
  </si>
  <si>
    <t>1376071530</t>
  </si>
  <si>
    <t xml:space="preserve">METHODIST HEALTHCARE SYSTEM OF SAN ANTONIO LTD LLP-METHODIST HOSPITAL SOUTH                          </t>
  </si>
  <si>
    <t>204254101</t>
  </si>
  <si>
    <t>1659525236</t>
  </si>
  <si>
    <t xml:space="preserve">METHODIST HEALTHCARE SYSTEM OF SAN ANTONIO LTD LLP-METHODIST STONE OAK HOSPITAL                      </t>
  </si>
  <si>
    <t>094154402</t>
  </si>
  <si>
    <t>1124074273</t>
  </si>
  <si>
    <t xml:space="preserve">METHODIST HOSPITAL                                </t>
  </si>
  <si>
    <t>133258705</t>
  </si>
  <si>
    <t>1225146400</t>
  </si>
  <si>
    <t xml:space="preserve">METHODIST HOSPITAL LEVELLAND-COVENANT HOSPITAL LEVELLAND                       </t>
  </si>
  <si>
    <t>126679303</t>
  </si>
  <si>
    <t>1275592131</t>
  </si>
  <si>
    <t xml:space="preserve">METHODIST HOSPITAL OF DALLAS-METHODIST CHARLTON MEDICAL CENTER                 </t>
  </si>
  <si>
    <t>127263503</t>
  </si>
  <si>
    <t>1073580726</t>
  </si>
  <si>
    <t xml:space="preserve">METHODIST HOSPITAL PLAINVIEW-COVENANT HOSPITAL PLAINVIEW                       </t>
  </si>
  <si>
    <t>135032405</t>
  </si>
  <si>
    <t>1528027786</t>
  </si>
  <si>
    <t xml:space="preserve">METHODIST HOSPITALS OF DALLAS-METHODIST DALLAS MEDICAL CENTER                   </t>
  </si>
  <si>
    <t>127319504</t>
  </si>
  <si>
    <t>1437171568</t>
  </si>
  <si>
    <t xml:space="preserve">METHODISTS CHILDRENS HOSPITAL-COVENANT CHILDRENS HOSPITAL                       </t>
  </si>
  <si>
    <t>094119702</t>
  </si>
  <si>
    <t>1629089966</t>
  </si>
  <si>
    <t xml:space="preserve">METROPLEX ADVENTIST HOSPITAL INC-METROPLEX HOSPITAL                                </t>
  </si>
  <si>
    <t>136143806</t>
  </si>
  <si>
    <t>1255325817</t>
  </si>
  <si>
    <t xml:space="preserve">MIDLAND COUNTY HOSPITAL DISTRCT-MIDLAND MEMORIAL HOSPITAL                         </t>
  </si>
  <si>
    <t>136325111</t>
  </si>
  <si>
    <t>1184631673</t>
  </si>
  <si>
    <t xml:space="preserve">MITCHELL COUNTY HOSPITAL DISTRICT-MITCHELL COUNTY HOSPITAL                          </t>
  </si>
  <si>
    <t>094129604</t>
  </si>
  <si>
    <t>1700991700</t>
  </si>
  <si>
    <t xml:space="preserve">MOORE COUNTY HOSPITAL-                                                  </t>
  </si>
  <si>
    <t>094108002</t>
  </si>
  <si>
    <t>1679578439</t>
  </si>
  <si>
    <t xml:space="preserve">MOTHER FRANCES HOSPITAL REGIONAL HEALTHCARE CENTER-MOTHER FRANCES HOSPITAL                           </t>
  </si>
  <si>
    <t>127301306</t>
  </si>
  <si>
    <t>1659308948</t>
  </si>
  <si>
    <t xml:space="preserve">MOTHER FRANCES HOSPITAL WINNSBORO                 </t>
  </si>
  <si>
    <t>120745806</t>
  </si>
  <si>
    <t>1699770149</t>
  </si>
  <si>
    <t xml:space="preserve">MUENSTER HOSPITAL DISTRICT-MUENSTER MEMORIAL HOSPITAL                        </t>
  </si>
  <si>
    <t xml:space="preserve">PALESTINE PRINCIPAL HEALTHCARE LIMITED PARTNERSHIP-PALESTINE REGIONAL MEDICAL                        </t>
  </si>
  <si>
    <t>130605205</t>
  </si>
  <si>
    <t>1700885076</t>
  </si>
  <si>
    <t xml:space="preserve">NACOGDOCHES MEDICAL CENTER                        </t>
  </si>
  <si>
    <t>112701102</t>
  </si>
  <si>
    <t>1144274226</t>
  </si>
  <si>
    <t xml:space="preserve">NAVARRO REGIONAL HOSPITAL                         </t>
  </si>
  <si>
    <t>133252005</t>
  </si>
  <si>
    <t>1093786204</t>
  </si>
  <si>
    <t xml:space="preserve">NHCI OF HILLSBORO INC-HILL REGIONAL HOSPITAL                            </t>
  </si>
  <si>
    <t>126675104</t>
  </si>
  <si>
    <t>1992753222</t>
  </si>
  <si>
    <t xml:space="preserve">TARRANT COUNTY HOSPITAL DISTRICT-JPS HEALTH NETWORK                                </t>
  </si>
  <si>
    <t>127310404</t>
  </si>
  <si>
    <t>1689655912</t>
  </si>
  <si>
    <t xml:space="preserve">NOCONA HOSPITAL DISTRICT-NOCONA GENERAL HOSPITAL                           </t>
  </si>
  <si>
    <t>185964702</t>
  </si>
  <si>
    <t>1548236524</t>
  </si>
  <si>
    <t xml:space="preserve">NORTH CENTRAL SURGICAL CENTER LLP                 </t>
  </si>
  <si>
    <t>020989201</t>
  </si>
  <si>
    <t>1205837770</t>
  </si>
  <si>
    <t xml:space="preserve">NORTH RUNNELS COUNTY HOSPITAL-                                                  </t>
  </si>
  <si>
    <t>350857401</t>
  </si>
  <si>
    <t>1871911016</t>
  </si>
  <si>
    <t xml:space="preserve">NORTH TEXAS - MCA, LLC-MEDICAL CENTER OF ALLIANCE                        </t>
  </si>
  <si>
    <t>121787905</t>
  </si>
  <si>
    <t>1396748471</t>
  </si>
  <si>
    <t xml:space="preserve">NORTH WHEELER COUNTY HOSTPIAL DISTRICT-PARKVIEW HOSPITAL                                 </t>
  </si>
  <si>
    <t>127262703</t>
  </si>
  <si>
    <t>1073511762</t>
  </si>
  <si>
    <t xml:space="preserve">BAYLOR MED CTR AT GRAPEVINE-BAYLOR SCOTT AND WHITE MEDICAL CENTER-GRAPEVINE   </t>
  </si>
  <si>
    <t>358963201</t>
  </si>
  <si>
    <t>1255708715</t>
  </si>
  <si>
    <t xml:space="preserve">OCH HOLDINGS-OUR CHILDRENS HOUSE                               </t>
  </si>
  <si>
    <t>112704504</t>
  </si>
  <si>
    <t>1245237593</t>
  </si>
  <si>
    <t xml:space="preserve">OCHILTREE GENERAL HOSPITAL                        </t>
  </si>
  <si>
    <t>112711003</t>
  </si>
  <si>
    <t>1801852736</t>
  </si>
  <si>
    <t xml:space="preserve">ODESSA REGIONAL HOSPITAL LP-ODESSA REGIONAL MEDICAL CENTER                    </t>
  </si>
  <si>
    <t>285368102</t>
  </si>
  <si>
    <t>1881915304</t>
  </si>
  <si>
    <t xml:space="preserve">OPREX SURGERY BAYTOWN LP-ALTAS BAYTOWN HOSPICE                             </t>
  </si>
  <si>
    <t>020977701</t>
  </si>
  <si>
    <t>1134166192</t>
  </si>
  <si>
    <t xml:space="preserve">ORTHOPEDIC  HOSPITAL LTD-TEXAS ORTHOPEDIC  HOSPITAL                        </t>
  </si>
  <si>
    <t>152686501</t>
  </si>
  <si>
    <t>1780786699</t>
  </si>
  <si>
    <t xml:space="preserve">PALACIOS COMMUNITY MEDICAL CENTER                 </t>
  </si>
  <si>
    <t>138950412</t>
  </si>
  <si>
    <t>1972590602</t>
  </si>
  <si>
    <t xml:space="preserve">PALO PINTO GENERAL HOSPITAL                       </t>
  </si>
  <si>
    <t>346138602</t>
  </si>
  <si>
    <t>1225439821</t>
  </si>
  <si>
    <t xml:space="preserve">PAM SQUARED AT TEXARKANA, LLC-                                                  </t>
  </si>
  <si>
    <t>111915801</t>
  </si>
  <si>
    <t>1497708929</t>
  </si>
  <si>
    <t xml:space="preserve">PARKVIEW REGIONAL HOSPITAL                        </t>
  </si>
  <si>
    <t>137343308</t>
  </si>
  <si>
    <t>1861475626</t>
  </si>
  <si>
    <t xml:space="preserve">PARMER COUNTY COMMUNITY HOSPITAL                  </t>
  </si>
  <si>
    <t>174662001</t>
  </si>
  <si>
    <t>1316933609</t>
  </si>
  <si>
    <t>PHYSICIANS MEDICAL CENTER LLC-TEXAS HEALTH CENTER FOR DIAGNOSTICS AND SURGERY PL</t>
  </si>
  <si>
    <t>391575301</t>
  </si>
  <si>
    <t>1083112023</t>
  </si>
  <si>
    <t xml:space="preserve">PIPELINE EAST DALLAS LLC-CITY HOSPITAL AT WHITE ROCK                       </t>
  </si>
  <si>
    <t>126840107</t>
  </si>
  <si>
    <t>1477594299</t>
  </si>
  <si>
    <t xml:space="preserve">PREFERRED HOSPITAL LEASING INC-COLLINGSWORTH GENERAL HOSPITAL                    </t>
  </si>
  <si>
    <t>176354201</t>
  </si>
  <si>
    <t>1013970862</t>
  </si>
  <si>
    <t xml:space="preserve">PREFERRED HOSPITAL LEASING VAN HORN INC-CULBERSON HOSPITAL                                </t>
  </si>
  <si>
    <t>354018901</t>
  </si>
  <si>
    <t>1790174860</t>
  </si>
  <si>
    <t xml:space="preserve">PRIME HEALTHCARE SERVICES MESQUITE LLC-DALLAS REGIONAL MEDICAL CENTER                    </t>
  </si>
  <si>
    <t>111829102</t>
  </si>
  <si>
    <t>1093708679</t>
  </si>
  <si>
    <t xml:space="preserve">PROVIDENCE HEALTH SERVICES OF WACO-PROVIDENCE HEALTHCARE NETWORK                     </t>
  </si>
  <si>
    <t>121799406</t>
  </si>
  <si>
    <t>1295739258</t>
  </si>
  <si>
    <t xml:space="preserve">RANKIN COUNTY HOSPITAL DISTRICT                   </t>
  </si>
  <si>
    <t>020991801</t>
  </si>
  <si>
    <t>1942240189</t>
  </si>
  <si>
    <t xml:space="preserve">REFUGIO COUNTY MEMORIAL HOSPITAL DISTRICT         </t>
  </si>
  <si>
    <t>133244705</t>
  </si>
  <si>
    <t>1275581852</t>
  </si>
  <si>
    <t xml:space="preserve">ROLLING PLAINS MEMORIAL HOSPITAL                  </t>
  </si>
  <si>
    <t>127267603</t>
  </si>
  <si>
    <t>1942294939</t>
  </si>
  <si>
    <t xml:space="preserve">SAINT JOSEPH REGIONAL HEALTH CENTER               </t>
  </si>
  <si>
    <t>112693002</t>
  </si>
  <si>
    <t>1194776104</t>
  </si>
  <si>
    <t xml:space="preserve">SAN ANGELO COMMUNITY MEDICAL CENTER               </t>
  </si>
  <si>
    <t>326725404</t>
  </si>
  <si>
    <t>1265772362</t>
  </si>
  <si>
    <t>SCOTT AND WHITE HOSPITAL COLLEGE STATION-BAYLOR SCOTT &amp; WHITE MEDICAL CENTER COLLEGE STATIO</t>
  </si>
  <si>
    <t>190123303</t>
  </si>
  <si>
    <t>1265568638</t>
  </si>
  <si>
    <t xml:space="preserve">SCOTT AND WHITE HOSPITAL ROUND ROCK-BAYLOR SCOTT &amp; WHITE MEDICAL CENTER - ROUND ROCK  </t>
  </si>
  <si>
    <t>136327710</t>
  </si>
  <si>
    <t>1962497800</t>
  </si>
  <si>
    <t xml:space="preserve">SCOTT AND WHITE HOSPITAL TAYLOR-BAYLOR SCOTT AND WHITE MEDICAL CENTER TAYLOR      </t>
  </si>
  <si>
    <t>137249208</t>
  </si>
  <si>
    <t>1477516466</t>
  </si>
  <si>
    <t xml:space="preserve">SCOTT AND WHITE MEMORIAL HOSPITAL-SCOTT AND WHITE MEDICAL CENTER TEMPLE             </t>
  </si>
  <si>
    <t>135226205</t>
  </si>
  <si>
    <t>1154315307</t>
  </si>
  <si>
    <t xml:space="preserve">SCOTT &amp;  WHITE HOSPITAL BRENHAM-BAYLOR SCOTT AND WHITE MEDICAL CENTER BRENHAM     </t>
  </si>
  <si>
    <t>136330112</t>
  </si>
  <si>
    <t>1578588463</t>
  </si>
  <si>
    <t xml:space="preserve">SCURRY COUNTY HOSPITAL DISTRICT-D.M. COGDELL MEMORIAL HOSPITAL                    </t>
  </si>
  <si>
    <t>094153604</t>
  </si>
  <si>
    <t>1356446686</t>
  </si>
  <si>
    <t xml:space="preserve">SETON FAMILY OF HOSPITALS-ASCENSION SETON EDGAR B DAVIS                     </t>
  </si>
  <si>
    <t>137265806</t>
  </si>
  <si>
    <t>1093810327</t>
  </si>
  <si>
    <t>SETON FAMILY OF HOSPITALS-DELL SETON MEDICAL CENTER AT THE UNIVERSITY OF TEX</t>
  </si>
  <si>
    <t>094151004</t>
  </si>
  <si>
    <t>1003833013</t>
  </si>
  <si>
    <t xml:space="preserve">SETON FAMILY OF HOSPITALS-SETON HIGHLAND LAKES                              </t>
  </si>
  <si>
    <t>135225404</t>
  </si>
  <si>
    <t>1164526786</t>
  </si>
  <si>
    <t xml:space="preserve">SETON FAMILY OF HOSPITALS-SETON MEDICAL CENTER AUSTIN                       </t>
  </si>
  <si>
    <t>208013701</t>
  </si>
  <si>
    <t>1619115383</t>
  </si>
  <si>
    <t xml:space="preserve">SETON FAMILY OF HOSPITALS-SETON MEDICAL CENTER HAYS                         </t>
  </si>
  <si>
    <t>194106401</t>
  </si>
  <si>
    <t>1578780870</t>
  </si>
  <si>
    <t xml:space="preserve">SETON FAMILY OF HOSPITALS-SETON MEDICAL CENTER WILLIAMSON                   </t>
  </si>
  <si>
    <t>121193005</t>
  </si>
  <si>
    <t>1538150370</t>
  </si>
  <si>
    <t xml:space="preserve">SHAMROCK GENERAL HOSPITAL                         </t>
  </si>
  <si>
    <t xml:space="preserve">PARKLAND MEMORIAL HOSPITAL-PARKLAND MEMORIAL-REHAB UNIT                      </t>
  </si>
  <si>
    <t>127300503</t>
  </si>
  <si>
    <t>1184622847</t>
  </si>
  <si>
    <t>CHI ST LUKES HEALTH BAYLOR COLLEGE OF MEDICINE MED</t>
  </si>
  <si>
    <t>127294003</t>
  </si>
  <si>
    <t>1790782704</t>
  </si>
  <si>
    <t xml:space="preserve">SID PETERSON MEMORIAL HOSPITAL-PETERSON REGIONAL MEDICAL CENTER                  </t>
  </si>
  <si>
    <t>127303903</t>
  </si>
  <si>
    <t>1700883196</t>
  </si>
  <si>
    <t xml:space="preserve">OAK BEND MEDICAL CENTER-OAKBEND MEDICAL CENTER                            </t>
  </si>
  <si>
    <t>216719901</t>
  </si>
  <si>
    <t>1700826575</t>
  </si>
  <si>
    <t xml:space="preserve">SOMERVELL COUNTY HOSPITAL DISTRICT-GLEN ROSE MEDICAL CENTER                          </t>
  </si>
  <si>
    <t>136332705</t>
  </si>
  <si>
    <t>1760567085</t>
  </si>
  <si>
    <t xml:space="preserve">STARR COUNTY MEMORIAL HOSPITAL                    </t>
  </si>
  <si>
    <t>094160103</t>
  </si>
  <si>
    <t>1720033947</t>
  </si>
  <si>
    <t xml:space="preserve">ST DAVIDS COMMUNITY HOSPITAL-ST DAVIDS MEDICAL CENTER                          </t>
  </si>
  <si>
    <t>020957901</t>
  </si>
  <si>
    <t>1649223645</t>
  </si>
  <si>
    <t xml:space="preserve">ST DAVIDS HEALTHCARE PARTNERSHIP LP LLP-ROUND ROCK MEDICAL CENTER                         </t>
  </si>
  <si>
    <t>112717702</t>
  </si>
  <si>
    <t>1679528889</t>
  </si>
  <si>
    <t xml:space="preserve">ST DAVIDS HEALTHCARE PARTNERSHIP LP LLP-SOUTH AUSTIN HOSPITAL                             </t>
  </si>
  <si>
    <t>094216103</t>
  </si>
  <si>
    <t>1629021845</t>
  </si>
  <si>
    <t xml:space="preserve">ST DAVID'S HEALTHCARE PARTNERSHIP LP LLP-ST DAVID'S NORTH AUSTIN MEDICAL CENTER            </t>
  </si>
  <si>
    <t xml:space="preserve">TENET HOSPITALS LIMITED-THE HOSPITALS OF PROVIDENCE MEMORIAL CAMPUS       </t>
  </si>
  <si>
    <t>020992601</t>
  </si>
  <si>
    <t>1083612121</t>
  </si>
  <si>
    <t xml:space="preserve">STONEWALL MEMORIAL HOSPITAL DISTRICT-STONEWALL MEMORIAL HOSPITAL                       </t>
  </si>
  <si>
    <t>020988401</t>
  </si>
  <si>
    <t>1023011657</t>
  </si>
  <si>
    <t xml:space="preserve">SWEENY COMMUNITY HOSPITAL                         </t>
  </si>
  <si>
    <t>316076401</t>
  </si>
  <si>
    <t>1518253194</t>
  </si>
  <si>
    <t xml:space="preserve">SWISHER MEMORIAL HEALTHCARE SYSTEM-SWISHER MEMORIAL HOSPITAL                         </t>
  </si>
  <si>
    <t>130606006</t>
  </si>
  <si>
    <t>1124076401</t>
  </si>
  <si>
    <t>196829901</t>
  </si>
  <si>
    <t>1972709970</t>
  </si>
  <si>
    <t xml:space="preserve">TENET HOSPITALS LIMITED-THE HOSPITALS OF PROVIDENCE EAST CAMPUS           </t>
  </si>
  <si>
    <t>369162801</t>
  </si>
  <si>
    <t>1538522412</t>
  </si>
  <si>
    <t xml:space="preserve">TENET HOSPITALS LIMITED-THE HOSPITALS OF PROVIDENCE TRANSMOUNTAIN CAMPUS  </t>
  </si>
  <si>
    <t>130618504</t>
  </si>
  <si>
    <t>1811916901</t>
  </si>
  <si>
    <t xml:space="preserve">TERRY MEMORIAL HOSPITAL DISTRICT-BROWNFIELD REGIONAL MEDICAL CENTER                </t>
  </si>
  <si>
    <t>130614405</t>
  </si>
  <si>
    <t>1174533343</t>
  </si>
  <si>
    <t xml:space="preserve">TEXAS HEALTH ARLINGTON MEMORIAL HOSPITAL-                                                  </t>
  </si>
  <si>
    <t>316296801</t>
  </si>
  <si>
    <t>1215296884</t>
  </si>
  <si>
    <t xml:space="preserve">TEXAS HEALTH HARRIS METHODIST HOSPITAL ALLIANCE-                                                  </t>
  </si>
  <si>
    <t>127304703</t>
  </si>
  <si>
    <t>1508899204</t>
  </si>
  <si>
    <t xml:space="preserve">TEXAS HEALTH HARRIS METHODIST HOSPITAL AZLE-                                                  </t>
  </si>
  <si>
    <t>131036903</t>
  </si>
  <si>
    <t>1396778064</t>
  </si>
  <si>
    <t xml:space="preserve">TEXAS HEALTH HARRIS METHODIST HOSPITAL CLEBURNE-                                                  </t>
  </si>
  <si>
    <t>112677302</t>
  </si>
  <si>
    <t>1336172105</t>
  </si>
  <si>
    <t xml:space="preserve">TEXAS HEALTH HARRIS METHODIST HOSPITAL FORT WORTH-                                                  </t>
  </si>
  <si>
    <t>120726804</t>
  </si>
  <si>
    <t>1417980202</t>
  </si>
  <si>
    <t xml:space="preserve">TEXAS HEALTH HARRIS METHODIST HOSPITAL SOUTHWEST F-                                                  </t>
  </si>
  <si>
    <t>121794503</t>
  </si>
  <si>
    <t>1922031541</t>
  </si>
  <si>
    <t xml:space="preserve">TEXAS HEALTH HARRIS METHODIST HOSPITAL STEPHENVILL-                                                  </t>
  </si>
  <si>
    <t>314080801</t>
  </si>
  <si>
    <t>1033120423</t>
  </si>
  <si>
    <t xml:space="preserve">TEXAS HEALTH HUGULEY INC-TEXAS HEALTH HUGULEY FORT WORTH SOUTH             </t>
  </si>
  <si>
    <t>020908201</t>
  </si>
  <si>
    <t>1396779948</t>
  </si>
  <si>
    <t xml:space="preserve">TEXAS HEALTH PRESBYTERIAN HOSPITAL DALLAS-TEXAS PRESBYTERIAN HOSPITAL OF DALLAS             </t>
  </si>
  <si>
    <t>020967802</t>
  </si>
  <si>
    <t>1003883158</t>
  </si>
  <si>
    <t xml:space="preserve">TEXAS HEALTH PRESBYTERIAN HOSPITAL DENTON-                                                  </t>
  </si>
  <si>
    <t>094140302</t>
  </si>
  <si>
    <t>1457382798</t>
  </si>
  <si>
    <t xml:space="preserve">TEXAS HEALTH PRESBYTERIAN HOSPITAL KAUFMAN-                                                  </t>
  </si>
  <si>
    <t>131030203</t>
  </si>
  <si>
    <t>1801831748</t>
  </si>
  <si>
    <t xml:space="preserve">NACOGDOCHES COUNTY HOSPITAL DISTRICT-MEMORIAL HOSPITAL                                 </t>
  </si>
  <si>
    <t>094205403</t>
  </si>
  <si>
    <t>1730278417</t>
  </si>
  <si>
    <t xml:space="preserve">TEXAS HEALTH SPECIALTY HOSPITAL FORT WORTH-                                                  </t>
  </si>
  <si>
    <t>173574801</t>
  </si>
  <si>
    <t>1245201656</t>
  </si>
  <si>
    <t>TEXAS INSTITUTE FOR SURGERY LLP-TEXAS INSTITUTE FOR SURGERY AT TEXAS HEALTH PRESBY</t>
  </si>
  <si>
    <t>178795401</t>
  </si>
  <si>
    <t>1043328198</t>
  </si>
  <si>
    <t xml:space="preserve">THE HOSPITAL AT WESTLAKE MEDICAL CENTER           </t>
  </si>
  <si>
    <t>163925401</t>
  </si>
  <si>
    <t>1861467573</t>
  </si>
  <si>
    <t xml:space="preserve">THE MEDICAL CENTER OF SOUTHEAST TEXAS LP-                                                  </t>
  </si>
  <si>
    <t>137949705</t>
  </si>
  <si>
    <t>1548387418</t>
  </si>
  <si>
    <t xml:space="preserve">THE METHODIST HOSPITAL                            </t>
  </si>
  <si>
    <t>088189803</t>
  </si>
  <si>
    <t>1356418974</t>
  </si>
  <si>
    <t xml:space="preserve">THROCKMORTON COUNTY MEMORIAL HOSPITAL-                                                  </t>
  </si>
  <si>
    <t>094208803</t>
  </si>
  <si>
    <t>1144203662</t>
  </si>
  <si>
    <t xml:space="preserve">TOPS SPECIALTY HOSPITAL, LTD-                                                  </t>
  </si>
  <si>
    <t>131043506</t>
  </si>
  <si>
    <t>1831160423</t>
  </si>
  <si>
    <t xml:space="preserve">SCENIC MOUNTAIN MEDICAL CENTER                    </t>
  </si>
  <si>
    <t>136381405</t>
  </si>
  <si>
    <t>1447259627</t>
  </si>
  <si>
    <t xml:space="preserve">TYLER COUNTY HOSPITAL                             </t>
  </si>
  <si>
    <t>137999206</t>
  </si>
  <si>
    <t>1821087164</t>
  </si>
  <si>
    <t xml:space="preserve">UNIVERSITY MEDICAL CENTER                         </t>
  </si>
  <si>
    <t>119877204</t>
  </si>
  <si>
    <t>1104830900</t>
  </si>
  <si>
    <t xml:space="preserve">VAL VERDE HOSPITAL CORPORATION-VAL VERDE REGIONAL MEDICAL CENTER                 </t>
  </si>
  <si>
    <t>294543801</t>
  </si>
  <si>
    <t>1184911877</t>
  </si>
  <si>
    <t xml:space="preserve">VHS BROWNSVILLE HOSPITAL COMPANY LLC-VALLEY BAPTIST MEDICAL CENTER BROWNSVILLE         </t>
  </si>
  <si>
    <t xml:space="preserve">TENET HOSPITALS LIMITED-THE HOSPITALS OF PROVIDENCE SIERRA CAMPUS         </t>
  </si>
  <si>
    <t>135235306</t>
  </si>
  <si>
    <t>1740273994</t>
  </si>
  <si>
    <t xml:space="preserve">ECTOR COUNTY HOSPITAL DISTRICT-MEDICAL CENTER HOSPITAL                           </t>
  </si>
  <si>
    <t>189791001</t>
  </si>
  <si>
    <t>1144225699</t>
  </si>
  <si>
    <t xml:space="preserve">WALKER COUNTY HOSPITAL CORPORATION-HUNTSVILLE MEMORIAL HOSPITAL                      </t>
  </si>
  <si>
    <t>385345901</t>
  </si>
  <si>
    <t>1417471467</t>
  </si>
  <si>
    <t xml:space="preserve">WEATHERFORD HEALTH SERVICES, LLC-                                                  </t>
  </si>
  <si>
    <t>135151206</t>
  </si>
  <si>
    <t>1871599829</t>
  </si>
  <si>
    <t xml:space="preserve">WILSON COUNTY MEMORIAL HOSPITAL DISTRICT-CONNALLY MEMORIAL MEDICAL CENTER                  </t>
  </si>
  <si>
    <t>148698701</t>
  </si>
  <si>
    <t>1295781227</t>
  </si>
  <si>
    <t xml:space="preserve">WINNIE COMMUNITY HOSPITAL LLC                     </t>
  </si>
  <si>
    <t>126667806</t>
  </si>
  <si>
    <t>1104842475</t>
  </si>
  <si>
    <t xml:space="preserve">W J MANGOLD MEMORIAL HOSPITAL                     </t>
  </si>
  <si>
    <t>094164302</t>
  </si>
  <si>
    <t>1487607792</t>
  </si>
  <si>
    <t xml:space="preserve">WOODLAND HEIGHTS MEDICAL CENTER                   </t>
  </si>
  <si>
    <t>112673204</t>
  </si>
  <si>
    <t>1881697878</t>
  </si>
  <si>
    <t xml:space="preserve">YOAKUM COMMUNITY HOSPITAL                         </t>
  </si>
  <si>
    <t>021302701</t>
  </si>
  <si>
    <t>1700937869</t>
  </si>
  <si>
    <t xml:space="preserve">ALTERNATIVES CENTRE FOR BEHA                      </t>
  </si>
  <si>
    <t>El Paso</t>
  </si>
  <si>
    <t>341779201</t>
  </si>
  <si>
    <t>1649504853</t>
  </si>
  <si>
    <t xml:space="preserve">DAY STARS INC-                                                  </t>
  </si>
  <si>
    <t>282960802</t>
  </si>
  <si>
    <t>1609008838</t>
  </si>
  <si>
    <t xml:space="preserve">ENLIGHTENED BEHAVIORAL HEALTH SYSTEMS LLC-                                                  </t>
  </si>
  <si>
    <t>343621401</t>
  </si>
  <si>
    <t>1467588319</t>
  </si>
  <si>
    <t xml:space="preserve">ER AMERICAN HEALTHCARE SERVICES, LLC-                                                  </t>
  </si>
  <si>
    <t>155006302</t>
  </si>
  <si>
    <t>1063522498</t>
  </si>
  <si>
    <t xml:space="preserve">HILL COUNTRY COUNSELING-HILL COUNTRY CONSELING                            </t>
  </si>
  <si>
    <t>Travis</t>
  </si>
  <si>
    <t>136141205</t>
  </si>
  <si>
    <t>1821011248</t>
  </si>
  <si>
    <t xml:space="preserve">BEXAR COUNTY HOSPITAL DISTRICT-UNIVERSITY HEALTH SYSTEM                          </t>
  </si>
  <si>
    <t>021367001</t>
  </si>
  <si>
    <t>1770887846</t>
  </si>
  <si>
    <t xml:space="preserve">POST OAKS CARE CENTER                             </t>
  </si>
  <si>
    <t>339420701</t>
  </si>
  <si>
    <t>1306146733</t>
  </si>
  <si>
    <t xml:space="preserve">AUDUBON BEHAVIORAL HEALTHCARE OF LONGVIEW LLC-OCEANS BEHAVIORAL HOSPITAL OF LONGVIEW            </t>
  </si>
  <si>
    <t>348183001</t>
  </si>
  <si>
    <t>1144625153</t>
  </si>
  <si>
    <t xml:space="preserve">AUSTIN BEHAVIORAL HOSPITAL LLC-CROSS CREEK HOSPITAL                              </t>
  </si>
  <si>
    <t>336658501</t>
  </si>
  <si>
    <t>1396184180</t>
  </si>
  <si>
    <t xml:space="preserve">BEHAVIORAL HEALTH CENTER OF THE PERMIAN BASIN LLC-OCEANS BEHAVIORAL HOSPITAL OF PERMIAN BASIN       </t>
  </si>
  <si>
    <t>217547301</t>
  </si>
  <si>
    <t>1093021719</t>
  </si>
  <si>
    <t xml:space="preserve">BEHAVIORAL HEALTH MANAGEMENT, LLC-                                                  </t>
  </si>
  <si>
    <t>314300001</t>
  </si>
  <si>
    <t>1134401466</t>
  </si>
  <si>
    <t xml:space="preserve">CARROLLTON SPRINGS LLC                            </t>
  </si>
  <si>
    <t xml:space="preserve">TEXAS HEALTH HARRIS METHODIST HOSPITAL HURST-EULES-                                                  </t>
  </si>
  <si>
    <t>136491104</t>
  </si>
  <si>
    <t>1912906298</t>
  </si>
  <si>
    <t xml:space="preserve">SOUTHWEST GENERAL HOSPITAL LP-SOUTHWEST GENERAL HOSPITAL                        </t>
  </si>
  <si>
    <t>315472601</t>
  </si>
  <si>
    <t>1962786608</t>
  </si>
  <si>
    <t xml:space="preserve">C &amp; I HOLDINGS LLC-LONE STAR BEHAVORIAL HEALTH                       </t>
  </si>
  <si>
    <t>021203701</t>
  </si>
  <si>
    <t>1730187568</t>
  </si>
  <si>
    <t xml:space="preserve">CYPRESS CREEK HOSPITAL INC                        </t>
  </si>
  <si>
    <t>333289201</t>
  </si>
  <si>
    <t>1457791105</t>
  </si>
  <si>
    <t xml:space="preserve">DALLAS BEHAVIORAL HEALTHCARE HOSPITAL LLC-                                                  </t>
  </si>
  <si>
    <t xml:space="preserve">SHANNON MEDICAL CENTER-SHANNON W TX MEM HOSP                             </t>
  </si>
  <si>
    <t>021214401</t>
  </si>
  <si>
    <t>1235212895</t>
  </si>
  <si>
    <t xml:space="preserve">DEVEREUX FOUNDATION-DEVEREUX-TEXAS TREATMENT                          </t>
  </si>
  <si>
    <t>359590201</t>
  </si>
  <si>
    <t>1649646415</t>
  </si>
  <si>
    <t xml:space="preserve">GARLAND BEHAVIORAL HOSPITAL                       </t>
  </si>
  <si>
    <t>345305201</t>
  </si>
  <si>
    <t>1275956807</t>
  </si>
  <si>
    <t xml:space="preserve">GEORGETOWN BEHAVIORAL HEALTH INSTITUTE, LLC-GEORGETOWN BEHAVIORAL HEALTH INSTITUTE LLC        </t>
  </si>
  <si>
    <t>112746602</t>
  </si>
  <si>
    <t>1922078815</t>
  </si>
  <si>
    <t xml:space="preserve">GLEN OAKS HOSPITAL INC-GLEN OAKS HOSPITAL                                </t>
  </si>
  <si>
    <t>021224301</t>
  </si>
  <si>
    <t>1831140698</t>
  </si>
  <si>
    <t xml:space="preserve">GREEN OAKS HOSPITAL SUBSIDIA                      </t>
  </si>
  <si>
    <t>355497401</t>
  </si>
  <si>
    <t>1780025148</t>
  </si>
  <si>
    <t xml:space="preserve">HAVEN BEHAVIORAL SERVICES OF FRISCO LLC-HAVEN BEHAVIORAL HOSPITAL OF FRISCO               </t>
  </si>
  <si>
    <t>184076101</t>
  </si>
  <si>
    <t>1205999232</t>
  </si>
  <si>
    <t xml:space="preserve">HICKORY TRAIL HOSPITAL LP                         </t>
  </si>
  <si>
    <t>021215104</t>
  </si>
  <si>
    <t>1689692402</t>
  </si>
  <si>
    <t xml:space="preserve">HMIH CEDAR CREST LLC-CEDAR CREST HOSPITAL                              </t>
  </si>
  <si>
    <t>192996002</t>
  </si>
  <si>
    <t>1962614834</t>
  </si>
  <si>
    <t xml:space="preserve">HORIZON HEALTH AUSTIN INC-AUSTIN LAKES HOSPITAL                             </t>
  </si>
  <si>
    <t>348990801</t>
  </si>
  <si>
    <t>1689098790</t>
  </si>
  <si>
    <t xml:space="preserve">HOUSTON BEHAVIORAL HEALTHCARE HOSPITAL, LLC-                                                  </t>
  </si>
  <si>
    <t>136492909</t>
  </si>
  <si>
    <t>1992708705</t>
  </si>
  <si>
    <t xml:space="preserve">LUBBOCK REGIONAL MHMR CENTER                      </t>
  </si>
  <si>
    <t xml:space="preserve">NORTHWEST HEALTHCARE SYSTEM INC-NORTHWEST TEXAS-PSYC UNIT                         </t>
  </si>
  <si>
    <t>339487601</t>
  </si>
  <si>
    <t>1366880627</t>
  </si>
  <si>
    <t xml:space="preserve">MESA SPRINGS, LLC-                                                  </t>
  </si>
  <si>
    <t>021189801</t>
  </si>
  <si>
    <t>1023015120</t>
  </si>
  <si>
    <t xml:space="preserve">MILLWOOD HOSPITAL                                 </t>
  </si>
  <si>
    <t>1891789772</t>
  </si>
  <si>
    <t xml:space="preserve">SAN JACINTO METHODIST HOSPITAL-HOUSTON METHODIST SAN JACINTO HOSPITAL            </t>
  </si>
  <si>
    <t>138411709</t>
  </si>
  <si>
    <t>1720088123</t>
  </si>
  <si>
    <t xml:space="preserve">GUADALUPE COUNTY HOSPITAL BOARD-GUADALUPE REGIONAL MEDICAL CENTER                 </t>
  </si>
  <si>
    <t>333366801</t>
  </si>
  <si>
    <t>1750620456</t>
  </si>
  <si>
    <t xml:space="preserve">OCEANS BEHAVIORAL HOSPITAL OF ABILENE LLC-                                                  </t>
  </si>
  <si>
    <t>352075101</t>
  </si>
  <si>
    <t>1891193868</t>
  </si>
  <si>
    <t xml:space="preserve">OCEANS BEHAVIORAL HOSPITAL OF KATY LLC-                                                  </t>
  </si>
  <si>
    <t>138913209</t>
  </si>
  <si>
    <t>1174526529</t>
  </si>
  <si>
    <t xml:space="preserve">TITUS COUNTY MEM HOSP DIST-TITUS REGIONAL MEDICAL CENTER                     </t>
  </si>
  <si>
    <t>341027602</t>
  </si>
  <si>
    <t>1689004939</t>
  </si>
  <si>
    <t xml:space="preserve">OCEANS BEHAVORIAL HOSPITAL OF LUFKIN LLC-OCEANS BEHAVORIAL HOSPITAL OF LUFKIN              </t>
  </si>
  <si>
    <t>159156201</t>
  </si>
  <si>
    <t>1598744856</t>
  </si>
  <si>
    <t xml:space="preserve">VHS SAN ANTONIO PARTNERS LLC-BAPTIST MEDICAL CENTER                            </t>
  </si>
  <si>
    <t>210433301</t>
  </si>
  <si>
    <t>1427048743</t>
  </si>
  <si>
    <t xml:space="preserve">RED RIVER HOSPITAL LLC-RED RIVER HOSPITAL                                </t>
  </si>
  <si>
    <t>112745802</t>
  </si>
  <si>
    <t>1518937218</t>
  </si>
  <si>
    <t xml:space="preserve">RIVER CREST HOSPITAL                              </t>
  </si>
  <si>
    <t>339869503</t>
  </si>
  <si>
    <t>1184056954</t>
  </si>
  <si>
    <t xml:space="preserve">ROCK SPRINGS, LLC-                                                  </t>
  </si>
  <si>
    <t>349059101</t>
  </si>
  <si>
    <t>1871917971</t>
  </si>
  <si>
    <t xml:space="preserve">SAN ANTONIO BEHAVIORAL HEALTHCARE HOSPITAL, LLC-                                                  </t>
  </si>
  <si>
    <t>094382101</t>
  </si>
  <si>
    <t>1538264866</t>
  </si>
  <si>
    <t xml:space="preserve">SETON SHOAL CREEK HOSPITAL                        </t>
  </si>
  <si>
    <t>175965601</t>
  </si>
  <si>
    <t>1861598633</t>
  </si>
  <si>
    <t xml:space="preserve">SHC KPH LP-KINGWOOD PINES HOSPITAL                           </t>
  </si>
  <si>
    <t>160630301</t>
  </si>
  <si>
    <t>1942208616</t>
  </si>
  <si>
    <t xml:space="preserve">ST LUKES COMMUNITY HEALTH SERVICES-ST LUKES THE WOODLANDS HOSPITAL                   </t>
  </si>
  <si>
    <t>160709501</t>
  </si>
  <si>
    <t>1053317362</t>
  </si>
  <si>
    <t xml:space="preserve">DAY SURGERY AT RENAISSANCE LLC-DOCTORS HOSPITAL AT RENAISSANCE LTD               </t>
  </si>
  <si>
    <t>352273201</t>
  </si>
  <si>
    <t>1376954263</t>
  </si>
  <si>
    <t xml:space="preserve">SRP BEHAVIORAL HOSPITAL OF PLANO LLC-WELLBRIDGE HEALTHCARE OF PLANO                    </t>
  </si>
  <si>
    <t>351415002</t>
  </si>
  <si>
    <t>1447672910</t>
  </si>
  <si>
    <t xml:space="preserve">SRP OCEANS HOSPITAL OF FORTWORTH LLC-WELLBRIDGE HEALTHCARE OF FORT WORTH               </t>
  </si>
  <si>
    <t>362439701</t>
  </si>
  <si>
    <t>1184014433</t>
  </si>
  <si>
    <t xml:space="preserve">SRP OCEANS HOSPITAL OF SAN MARCOS LLC-WELLBRIDGE HEALTHCARE OF SAN MARCOS               </t>
  </si>
  <si>
    <t>371439601</t>
  </si>
  <si>
    <t>1154782548</t>
  </si>
  <si>
    <t xml:space="preserve">STRATEGIC BH-BROWNSVILLE, LLC-PALMS BEHAVIORAL HEALTH                           </t>
  </si>
  <si>
    <t>361635101</t>
  </si>
  <si>
    <t>1003282039</t>
  </si>
  <si>
    <t xml:space="preserve">SUN HOUSTON, LLC-                                                  </t>
  </si>
  <si>
    <t>163111101</t>
  </si>
  <si>
    <t>1063411767</t>
  </si>
  <si>
    <t xml:space="preserve">ESSENT PRMC LP-PARIS REGIONAL MEDICAL CENTER                     </t>
  </si>
  <si>
    <t>021240902</t>
  </si>
  <si>
    <t>1043280951</t>
  </si>
  <si>
    <t xml:space="preserve">TEXAS LAUREL RIDGE HOSPITAL LP-LAUREL RIDGE TREATMENT CENTER                     </t>
  </si>
  <si>
    <t>333086201</t>
  </si>
  <si>
    <t>1578809505</t>
  </si>
  <si>
    <t xml:space="preserve">TEXAS OAKS PSYCHIATRIC HOSPITAL LP-AUSTIN OAKS HOSPITAL                              </t>
  </si>
  <si>
    <t>177658501</t>
  </si>
  <si>
    <t>1851346407</t>
  </si>
  <si>
    <t xml:space="preserve">UHP LP                                            </t>
  </si>
  <si>
    <t>191968002</t>
  </si>
  <si>
    <t>1386779304</t>
  </si>
  <si>
    <t xml:space="preserve">UNIVERSITY BEHAVIORAL HEALTH OF EL PASO LLC       </t>
  </si>
  <si>
    <t xml:space="preserve">UNIVERSITY OF TEXAS SOUTHWESTERN MEDICAL CENTER AT-UT SOUTHWESTERN UNIVERSITY HOSPITAL  ZALE LIPSHY  </t>
  </si>
  <si>
    <t xml:space="preserve">UHS OF TEXOMA INC-REBA MCENTIRE CENTER FOR REHABILITATION           </t>
  </si>
  <si>
    <t>121829905</t>
  </si>
  <si>
    <t>1598764359</t>
  </si>
  <si>
    <t xml:space="preserve">WEST OAK HOSPITAL INC-TEXAS WEST OAKS HOSPITAL                          </t>
  </si>
  <si>
    <t>344854001</t>
  </si>
  <si>
    <t>1215354899</t>
  </si>
  <si>
    <t xml:space="preserve">WESTPARK SPRINGS LLC-                                                  </t>
  </si>
  <si>
    <t>1053778860</t>
  </si>
  <si>
    <t xml:space="preserve">VIBRA SPECIALTY HOSPITAL OF DALLAS LLC-VIBRA HOSPITAL OF RICHARDSON                      </t>
  </si>
  <si>
    <t xml:space="preserve">SHERMAN GRAYSON HOSPITAL LLC-SHERMAN GRAYSON HEALTH SYSTEM                     </t>
  </si>
  <si>
    <t>283280001</t>
  </si>
  <si>
    <t>1871898478</t>
  </si>
  <si>
    <t xml:space="preserve">MAYHILL BEHAVIORAL HEALTH LLC-                                                  </t>
  </si>
  <si>
    <t>Tarrant</t>
  </si>
  <si>
    <t>288563403</t>
  </si>
  <si>
    <t>1285930891</t>
  </si>
  <si>
    <t xml:space="preserve">BAYLOR INSTITUTE FOR REHABILITATION AT FRISCO-                                                  </t>
  </si>
  <si>
    <t>292096901</t>
  </si>
  <si>
    <t>1154618742</t>
  </si>
  <si>
    <t xml:space="preserve">VHS HARLINGEN HOSPITAL COMPANY LLC-                                                  </t>
  </si>
  <si>
    <t>112721903</t>
  </si>
  <si>
    <t>1538465901</t>
  </si>
  <si>
    <t xml:space="preserve">BIR JV LLP-BAYLOR INSTITUTE FOR REHABILITATION               </t>
  </si>
  <si>
    <t>308032701</t>
  </si>
  <si>
    <t>1386902138</t>
  </si>
  <si>
    <t xml:space="preserve">PRIME HEALTHCARE SERVICES PAMPA LLC-PAMPA REGIONAL MEDICAL CENTER                     </t>
  </si>
  <si>
    <t>190809701</t>
  </si>
  <si>
    <t>1609091693</t>
  </si>
  <si>
    <t xml:space="preserve">CENTRAL TEXAS REHABILITATION HOSPITAL LLC-CENTRAL TEXAS REHABILITATION HOSPITAL             </t>
  </si>
  <si>
    <t>094353202</t>
  </si>
  <si>
    <t>1467453902</t>
  </si>
  <si>
    <t xml:space="preserve">CHRISTUS HEALTH ARK LA TEX-CHRISTUS ST MICHAEL REHABILITATION HOSPITAL       </t>
  </si>
  <si>
    <t>396546901</t>
  </si>
  <si>
    <t>BIR JV LLP-BAYLOR SCOTT AND WHITE INSTITUTE FOR REHABILITATIO</t>
  </si>
  <si>
    <t>354076701</t>
  </si>
  <si>
    <t>1861882532</t>
  </si>
  <si>
    <t xml:space="preserve">CLEAR LAKE INSTITUTE FOR REHABILITATION, LLC-PAM REHABILITATION HOSPITAL OF CLEAR LAKE         </t>
  </si>
  <si>
    <t>179322602</t>
  </si>
  <si>
    <t>1972540417</t>
  </si>
  <si>
    <t xml:space="preserve">CLEAR LAKE REHABILITATION HOSPITAL LLC-KINDRED REHABILIT HOSPITAL CLEAR LAKE             </t>
  </si>
  <si>
    <t>094349003</t>
  </si>
  <si>
    <t>1689648339</t>
  </si>
  <si>
    <t>CMS REHAB OF WF LP-ENCOMPASS HEALTH REHABILITATION HOSPITAL OF WICHIT</t>
  </si>
  <si>
    <t>344945603</t>
  </si>
  <si>
    <t>1821439183</t>
  </si>
  <si>
    <t xml:space="preserve">CORPUS CHRISTI REHABILITATION HOSPITAL LLC        </t>
  </si>
  <si>
    <t>358006003</t>
  </si>
  <si>
    <t>1952784985</t>
  </si>
  <si>
    <t xml:space="preserve">COVENANT REHABILITATION HOSPITAL OF LUBBOCK LLC-TRUSTPOINT REHABILITATION HOSPITAL OF LUBBOCK     </t>
  </si>
  <si>
    <t>365612601</t>
  </si>
  <si>
    <t>1114340080</t>
  </si>
  <si>
    <t xml:space="preserve">ASPIRE HOSPITAL LLC                               </t>
  </si>
  <si>
    <t>312476002</t>
  </si>
  <si>
    <t>1396902540</t>
  </si>
  <si>
    <t xml:space="preserve">GLOBALREHAB FORT WORTH, LP-                                                  </t>
  </si>
  <si>
    <t>349912101</t>
  </si>
  <si>
    <t>1568695146</t>
  </si>
  <si>
    <t xml:space="preserve">GLOBALREHAB SAN ANTONIO LP-SELECT REHABILITATION HOSPITAL OF SAN ANTONIO     </t>
  </si>
  <si>
    <t>377705401</t>
  </si>
  <si>
    <t>199329702</t>
  </si>
  <si>
    <t>1699749341</t>
  </si>
  <si>
    <t>HEALTH SOUTH CITY VIEW REHABILITATION HOSPITAL-ENCOMPASS HEALTH REHABILITATION HOSPITAL OF CITY V</t>
  </si>
  <si>
    <t>094347402</t>
  </si>
  <si>
    <t>1144294893</t>
  </si>
  <si>
    <t xml:space="preserve">HEALTHSOUTH PLANO REHABILITATION HOSPITAL LLC-HEALTHSOUTH PLANO REHABILITATION HOSPITAL         </t>
  </si>
  <si>
    <t>309446801</t>
  </si>
  <si>
    <t>1548546088</t>
  </si>
  <si>
    <t xml:space="preserve">HEALTHSOUTH REHAB  HOSPITAL OF SOUTH AUSTIN LLC-HEALTHSOUTH REHABILITATION  HOSPITAL OF AUSTIN    </t>
  </si>
  <si>
    <t>288662403</t>
  </si>
  <si>
    <t>1427374222</t>
  </si>
  <si>
    <t xml:space="preserve">HEALTHSOUTH REHAB HOSPITAL OF THE MID-CITIES LLC-RELIANT REHABILITATION HOSPITAL MID CITIES        </t>
  </si>
  <si>
    <t>021173202</t>
  </si>
  <si>
    <t>1821062050</t>
  </si>
  <si>
    <t xml:space="preserve">HEALTHSOUTH REHABILIATION HOSPITAL OF ARLINGTON   </t>
  </si>
  <si>
    <t>094351601</t>
  </si>
  <si>
    <t>1821061532</t>
  </si>
  <si>
    <t>HEALTHSOUTH REHABILITATION-ENCOMPASS HEALTH  REHABILITATION HOSPITAL OF MIDLA</t>
  </si>
  <si>
    <t>209804801</t>
  </si>
  <si>
    <t>1477731156</t>
  </si>
  <si>
    <t>HEALTHSOUTH REHABILITATION HOSPITAL NORTH HOUSTON-ENCOMPASS HEALTH REHABILITATION HOSPITAL VISION PA</t>
  </si>
  <si>
    <t>313188001</t>
  </si>
  <si>
    <t>1659539567</t>
  </si>
  <si>
    <t xml:space="preserve">HEALTHSOUTH REHABILITATION HOSPITAL OF ABILENE LLC-HEALTHSOUTH REHABILITATION HOSPITAL OF ABILENE    </t>
  </si>
  <si>
    <t>301006801</t>
  </si>
  <si>
    <t>1275813610</t>
  </si>
  <si>
    <t xml:space="preserve">HEALTHSOUTH REHABILITATION HOSPITAL OF CYPRESS LLC-                                                  </t>
  </si>
  <si>
    <t>314562501</t>
  </si>
  <si>
    <t>1982920773</t>
  </si>
  <si>
    <t xml:space="preserve">HEALTHSOUTH REHABILITATION HOSPITAL OF DALLAS LLC-HEALTHSOUTH REHABILITATION HOSPITAL OF DALLAS     </t>
  </si>
  <si>
    <t>337018101</t>
  </si>
  <si>
    <t>1366871600</t>
  </si>
  <si>
    <t xml:space="preserve">HEALTH SOUTH REHABILITATION HOSPITAL OF HUMBLE-                                                  </t>
  </si>
  <si>
    <t>1750655833</t>
  </si>
  <si>
    <t>199238002</t>
  </si>
  <si>
    <t>1720279342</t>
  </si>
  <si>
    <t xml:space="preserve">HEALTHSOUTH REHABILITATION HOSPITAL OF RICHARDSON </t>
  </si>
  <si>
    <t>209190201</t>
  </si>
  <si>
    <t>1245422567</t>
  </si>
  <si>
    <t xml:space="preserve">HEALTHSOUTH REHABILITATION HOSPITAL OF ROUND ROCK </t>
  </si>
  <si>
    <t>219907701</t>
  </si>
  <si>
    <t>1518287721</t>
  </si>
  <si>
    <t xml:space="preserve">HEALTHSOUTH REHABILITATION HOSPITAL OF SUGAR LAND-HEALTHSOUTH SUGAR LAND REHABILITATION HOSPITAL    </t>
  </si>
  <si>
    <t>315341301</t>
  </si>
  <si>
    <t>1376829812</t>
  </si>
  <si>
    <t xml:space="preserve">HEALTHSOUTH REHABILITATION HOSPITAL OF VINTAGE PAR-HEALTHSOUTH REHABILITATION HOSPITAL THE VINTAGE   </t>
  </si>
  <si>
    <t>094352403</t>
  </si>
  <si>
    <t>1194798801</t>
  </si>
  <si>
    <t xml:space="preserve">HEALTHSOUTH REHABILITATION  HOSPITAL THE WOODLANDS-ENCOMPASS HEALTH REHABILITATION HOSPITAL OF THE W </t>
  </si>
  <si>
    <t>021175701</t>
  </si>
  <si>
    <t>1649243353</t>
  </si>
  <si>
    <t>HEALTHSOUTH REHABILITATION OF TEXARKANA INC-ENCOMPASS HEALTH REHABILITATION HOSPITAL OF TEXARK</t>
  </si>
  <si>
    <t>021168201</t>
  </si>
  <si>
    <t>1548233265</t>
  </si>
  <si>
    <t>HEALTHSOUTH REHAB INSTITUTUE OF SAN ANTONIO RIOSA-ENCOMPASS HEALTH REHABILITATION HOSPITAL OF SAN AN</t>
  </si>
  <si>
    <t>382091201</t>
  </si>
  <si>
    <t>1144756578</t>
  </si>
  <si>
    <t>HEALTHSOUTH REHABILITATION HOSPITAL OF PEARLAND LL-HEALTHSOUTH REHABILITATION OF HOSPITAL OF PEARLAND</t>
  </si>
  <si>
    <t>350658601</t>
  </si>
  <si>
    <t>1710389929</t>
  </si>
  <si>
    <t xml:space="preserve">LAREDO REHABILITATION HOSPITAL LLC-                                                  </t>
  </si>
  <si>
    <t>395486901</t>
  </si>
  <si>
    <t>1346729159</t>
  </si>
  <si>
    <t>BAYLOR SCOTT &amp; WHITE MEDICAL CENTERS - CAPITOL ARE-BAYLOR SCOTT &amp; WHITE MEDICAL CENTER - PFLUGERVILLE</t>
  </si>
  <si>
    <t>220238402</t>
  </si>
  <si>
    <t>1043457583</t>
  </si>
  <si>
    <t xml:space="preserve">MEMORIAL HERMANN REHABILITATION HOSPITAL KATY-                                                  </t>
  </si>
  <si>
    <t>391576104</t>
  </si>
  <si>
    <t>1114435260</t>
  </si>
  <si>
    <t>Rural Private</t>
  </si>
  <si>
    <t>398568101</t>
  </si>
  <si>
    <t>1285699835</t>
  </si>
  <si>
    <t>291429301</t>
  </si>
  <si>
    <t>1801191853</t>
  </si>
  <si>
    <t xml:space="preserve">NEW BRAUNFELS REG REHAB HOSP INC-                                                  </t>
  </si>
  <si>
    <t>133252009</t>
  </si>
  <si>
    <t>1992285282</t>
  </si>
  <si>
    <t>MRSA Central</t>
  </si>
  <si>
    <t>367514201</t>
  </si>
  <si>
    <t>1831550680</t>
  </si>
  <si>
    <t xml:space="preserve">PAM SQUARED AT BEAUMONT, LLC-                                                  </t>
  </si>
  <si>
    <t>388635001</t>
  </si>
  <si>
    <t>1013085083</t>
  </si>
  <si>
    <t>325177904</t>
  </si>
  <si>
    <t>1043552177</t>
  </si>
  <si>
    <t xml:space="preserve">POST ACUTE MEDICAL AT ALLEN LLC-PAM REHABILITATION HOSPITAL OF ALLEN              </t>
  </si>
  <si>
    <t>400811201</t>
  </si>
  <si>
    <t>1346724879</t>
  </si>
  <si>
    <t>212203801</t>
  </si>
  <si>
    <t>1770740359</t>
  </si>
  <si>
    <t xml:space="preserve">REHABILIATION INSTITUTE OF DENTON LLC-SELELCT REHABILITATIOIN HOSPITAL OF DENTON        </t>
  </si>
  <si>
    <t>389645801</t>
  </si>
  <si>
    <t>1174021695</t>
  </si>
  <si>
    <t xml:space="preserve">REHABILITATION HOSPITAL LLC-UT HEALTH EAST TEXAS REHABILITATION HOSPITAL      </t>
  </si>
  <si>
    <t>218868201</t>
  </si>
  <si>
    <t>1922321447</t>
  </si>
  <si>
    <t xml:space="preserve">REHABILITATION HOSPITAL OF MESQUITE LLC-MESQUITE REHABILITATION INSTITUTE                 </t>
  </si>
  <si>
    <t>399761101</t>
  </si>
  <si>
    <t>1790252674</t>
  </si>
  <si>
    <t>173995503</t>
  </si>
  <si>
    <t>1093712697</t>
  </si>
  <si>
    <t xml:space="preserve">SOUTH TEXAS REHABILITATION HOSPITAL LP-                                                  </t>
  </si>
  <si>
    <t>368423501</t>
  </si>
  <si>
    <t>1932573417</t>
  </si>
  <si>
    <t xml:space="preserve">ST JOSEPH HEALTHSOUTH REHABILITATION HOSPITAL LLC-CHI ST JOSEPH REHABILITATION HOSPITAL             </t>
  </si>
  <si>
    <t>Hidalgo</t>
  </si>
  <si>
    <t>391264401</t>
  </si>
  <si>
    <t>1740791748</t>
  </si>
  <si>
    <t xml:space="preserve">WOODLAND SPINGS LLC-WOODLAND SPRINGS                                  </t>
  </si>
  <si>
    <t>1114493830</t>
  </si>
  <si>
    <t>184505902</t>
  </si>
  <si>
    <t>1316911068</t>
  </si>
  <si>
    <t>TRINITY MOTHER FRANCES REHABILITATION HOSPITAL-CHRISTUS TRINITY MOTHER FRANCES REHABILITATION HOS</t>
  </si>
  <si>
    <t>322878502</t>
  </si>
  <si>
    <t>1417225434</t>
  </si>
  <si>
    <t xml:space="preserve">TRIUMPH REHABILIATION HOSPITAL OF NORTHEAST HOUSTO-KINDRED REHABILITATION HOSPITAL NORTHEAST HOUSTON </t>
  </si>
  <si>
    <t>398846101</t>
  </si>
  <si>
    <t>1619476926</t>
  </si>
  <si>
    <t>Lubbock</t>
  </si>
  <si>
    <t>395270701</t>
  </si>
  <si>
    <t>1427506385</t>
  </si>
  <si>
    <t>334224803</t>
  </si>
  <si>
    <t>1750713012</t>
  </si>
  <si>
    <t xml:space="preserve">VIBRA REHABILITATION HOSPITAL OF AMARILLO LLC-VIBRA REHABILITATION HOSPITAL OF AMARILLO         </t>
  </si>
  <si>
    <t>357697701</t>
  </si>
  <si>
    <t>1740693316</t>
  </si>
  <si>
    <t xml:space="preserve">VIBRA REHABILITATION HOSPITAL OF EL PASO, LLC-HIGHLANDS REHABILITATION HOSPITAL                 </t>
  </si>
  <si>
    <t>386625301</t>
  </si>
  <si>
    <t>1003340639</t>
  </si>
  <si>
    <t>347731701</t>
  </si>
  <si>
    <t>1861818809</t>
  </si>
  <si>
    <t xml:space="preserve">WARM SPRINGS REHABILITATION HOSPITAL OF KYLE LLC-                                                  </t>
  </si>
  <si>
    <t>350452401</t>
  </si>
  <si>
    <t>1073952339</t>
  </si>
  <si>
    <t xml:space="preserve">WARM SPRINGS REHABILITATION HOSPITAL OF VICTORIA L-PAM REHABILITATION HOSPITAL OF VICTORIA           </t>
  </si>
  <si>
    <t>350453201</t>
  </si>
  <si>
    <t>1538551791</t>
  </si>
  <si>
    <t xml:space="preserve">WESLACO REGIONAL REHABILITATION HOSPITAL, LLC-                                                  </t>
  </si>
  <si>
    <t>Rural Public</t>
  </si>
  <si>
    <t>169553801</t>
  </si>
  <si>
    <t>Children's</t>
  </si>
  <si>
    <t>Nueces</t>
  </si>
  <si>
    <t>020943901</t>
  </si>
  <si>
    <t>Jefferson</t>
  </si>
  <si>
    <t>094113001</t>
  </si>
  <si>
    <t>094118902</t>
  </si>
  <si>
    <t>Non-Urban Public</t>
  </si>
  <si>
    <t>Urban Public</t>
  </si>
  <si>
    <t>121775403</t>
  </si>
  <si>
    <t>121789503</t>
  </si>
  <si>
    <t>121816602</t>
  </si>
  <si>
    <t>127295703</t>
  </si>
  <si>
    <t>130601104</t>
  </si>
  <si>
    <t>133245406</t>
  </si>
  <si>
    <t>136326908</t>
  </si>
  <si>
    <t>137226005</t>
  </si>
  <si>
    <t>137245009</t>
  </si>
  <si>
    <t>137962006</t>
  </si>
  <si>
    <t>175289101</t>
  </si>
  <si>
    <t>194997601</t>
  </si>
  <si>
    <t>197976701</t>
  </si>
  <si>
    <t>220351501</t>
  </si>
  <si>
    <t>347495902</t>
  </si>
  <si>
    <t>358006001</t>
  </si>
  <si>
    <t xml:space="preserve">357697701 </t>
  </si>
  <si>
    <t>Y</t>
  </si>
  <si>
    <t>NSGO</t>
  </si>
  <si>
    <t>YOAKUM COMMUNITY HOSPITAL</t>
  </si>
  <si>
    <t>451346</t>
  </si>
  <si>
    <t>N</t>
  </si>
  <si>
    <t>Private</t>
  </si>
  <si>
    <t>WOODLAND HEIGHTS MEDICAL CENTER</t>
  </si>
  <si>
    <t>450484</t>
  </si>
  <si>
    <t>WINNIE COMMUNITY HOSPITAL LLC</t>
  </si>
  <si>
    <t>451328</t>
  </si>
  <si>
    <t>451314</t>
  </si>
  <si>
    <t>450108</t>
  </si>
  <si>
    <t>450584</t>
  </si>
  <si>
    <t>450203</t>
  </si>
  <si>
    <t>673057</t>
  </si>
  <si>
    <t>450347</t>
  </si>
  <si>
    <t>W J MANGOLD MEMORIAL HOSPITAL</t>
  </si>
  <si>
    <t>451337</t>
  </si>
  <si>
    <t>450831</t>
  </si>
  <si>
    <t>453086</t>
  </si>
  <si>
    <t>450058</t>
  </si>
  <si>
    <t>450033</t>
  </si>
  <si>
    <t>450028</t>
  </si>
  <si>
    <t>450154</t>
  </si>
  <si>
    <t>USMD HOSPITAL AT FORT WORTH LP</t>
  </si>
  <si>
    <t>198248001</t>
  </si>
  <si>
    <t>1568656502</t>
  </si>
  <si>
    <t>USMD HOSPITAL AT ARLINGTON LP</t>
  </si>
  <si>
    <t>450872</t>
  </si>
  <si>
    <t>094212002</t>
  </si>
  <si>
    <t>1538117452</t>
  </si>
  <si>
    <t>State-owned</t>
  </si>
  <si>
    <t>SGO</t>
  </si>
  <si>
    <t>1417010653</t>
  </si>
  <si>
    <t>450044</t>
  </si>
  <si>
    <t>UNIVERSITY OF TEXAS MEDICAL BRANCH AT GALVESTON</t>
  </si>
  <si>
    <t>094092602</t>
  </si>
  <si>
    <t>450018</t>
  </si>
  <si>
    <t>1548226988</t>
  </si>
  <si>
    <t>127278304</t>
  </si>
  <si>
    <t>450690</t>
  </si>
  <si>
    <t>1417941295</t>
  </si>
  <si>
    <t>UNIVERSITY MEDICAL CENTER</t>
  </si>
  <si>
    <t>450686</t>
  </si>
  <si>
    <t>UNITED REGIONAL HEALTHCARE</t>
  </si>
  <si>
    <t>450010</t>
  </si>
  <si>
    <t>450324</t>
  </si>
  <si>
    <t>1851390967</t>
  </si>
  <si>
    <t>450083</t>
  </si>
  <si>
    <t>TYLER COUNTY HOSPITAL</t>
  </si>
  <si>
    <t>450460</t>
  </si>
  <si>
    <t>452080</t>
  </si>
  <si>
    <t>452075</t>
  </si>
  <si>
    <t>453056</t>
  </si>
  <si>
    <t>450730</t>
  </si>
  <si>
    <t>452028</t>
  </si>
  <si>
    <t>450774</t>
  </si>
  <si>
    <t>450080</t>
  </si>
  <si>
    <t>112672402</t>
  </si>
  <si>
    <t>450076</t>
  </si>
  <si>
    <t>1174582050</t>
  </si>
  <si>
    <t>THE METHODIST HOSPITAL</t>
  </si>
  <si>
    <t>450358</t>
  </si>
  <si>
    <t>450518</t>
  </si>
  <si>
    <t>452039</t>
  </si>
  <si>
    <t>TEXAS SPINE AND JOINT HOSPITAL LTD</t>
  </si>
  <si>
    <t>450864</t>
  </si>
  <si>
    <t>Childrens</t>
  </si>
  <si>
    <t>453314</t>
  </si>
  <si>
    <t>670060</t>
  </si>
  <si>
    <t>450462</t>
  </si>
  <si>
    <t>450889</t>
  </si>
  <si>
    <t>670025</t>
  </si>
  <si>
    <t>450771</t>
  </si>
  <si>
    <t>450292</t>
  </si>
  <si>
    <t>450743</t>
  </si>
  <si>
    <t>450840</t>
  </si>
  <si>
    <t>450677</t>
  </si>
  <si>
    <t>450351</t>
  </si>
  <si>
    <t>450779</t>
  </si>
  <si>
    <t>TEXAS HEALTH HARRIS METHODIST HOSPITAL HURST EULES</t>
  </si>
  <si>
    <t>450639</t>
  </si>
  <si>
    <t>1104845015</t>
  </si>
  <si>
    <t>450135</t>
  </si>
  <si>
    <t>450148</t>
  </si>
  <si>
    <t>450419</t>
  </si>
  <si>
    <t>670085</t>
  </si>
  <si>
    <t>450064</t>
  </si>
  <si>
    <t>371495801</t>
  </si>
  <si>
    <t>1720474919</t>
  </si>
  <si>
    <t>TEXAS CHILDRENS HOSPITAL</t>
  </si>
  <si>
    <t>453304</t>
  </si>
  <si>
    <t>450399</t>
  </si>
  <si>
    <t>670120</t>
  </si>
  <si>
    <t>670047</t>
  </si>
  <si>
    <t>450002</t>
  </si>
  <si>
    <t>1700801909</t>
  </si>
  <si>
    <t>450885</t>
  </si>
  <si>
    <t>450039</t>
  </si>
  <si>
    <t>451349</t>
  </si>
  <si>
    <t>SWEENY COMMUNITY HOSPITAL</t>
  </si>
  <si>
    <t>451311</t>
  </si>
  <si>
    <t>451318</t>
  </si>
  <si>
    <t>STEPHENS MEMORIAL HOSPITAL</t>
  </si>
  <si>
    <t>337991901</t>
  </si>
  <si>
    <t>450498</t>
  </si>
  <si>
    <t>1285065623</t>
  </si>
  <si>
    <t>STARR COUNTY MEMORIAL HOSPITAL</t>
  </si>
  <si>
    <t>450654</t>
  </si>
  <si>
    <t>126842708</t>
  </si>
  <si>
    <t>1649224825</t>
  </si>
  <si>
    <t>670053</t>
  </si>
  <si>
    <t>ST MARKS MEDICAL CENTER</t>
  </si>
  <si>
    <t>670004</t>
  </si>
  <si>
    <t>670031</t>
  </si>
  <si>
    <t>670059</t>
  </si>
  <si>
    <t>ST LUKES HOSPITAL AT THE VINTAGE</t>
  </si>
  <si>
    <t>339153401</t>
  </si>
  <si>
    <t>670075</t>
  </si>
  <si>
    <t>1710314141</t>
  </si>
  <si>
    <t>450862</t>
  </si>
  <si>
    <t>673065</t>
  </si>
  <si>
    <t>450573</t>
  </si>
  <si>
    <t>450809</t>
  </si>
  <si>
    <t>450713</t>
  </si>
  <si>
    <t>450718</t>
  </si>
  <si>
    <t>450431</t>
  </si>
  <si>
    <t>450697</t>
  </si>
  <si>
    <t>450888</t>
  </si>
  <si>
    <t>453092</t>
  </si>
  <si>
    <t>SOUTH TEXAS HEALTH SYSTEM</t>
  </si>
  <si>
    <t>450119</t>
  </si>
  <si>
    <t>1770573586</t>
  </si>
  <si>
    <t>450451</t>
  </si>
  <si>
    <t>452101</t>
  </si>
  <si>
    <t>181706601</t>
  </si>
  <si>
    <t>450035</t>
  </si>
  <si>
    <t>1154361475</t>
  </si>
  <si>
    <t>450668</t>
  </si>
  <si>
    <t>1215969787</t>
  </si>
  <si>
    <t>450007</t>
  </si>
  <si>
    <t>453311</t>
  </si>
  <si>
    <t>450469</t>
  </si>
  <si>
    <t>1013957836</t>
  </si>
  <si>
    <t>SHANNON MEDICAL CENTER</t>
  </si>
  <si>
    <t>450571</t>
  </si>
  <si>
    <t>1992707228</t>
  </si>
  <si>
    <t>SHAMROCK GENERAL HOSPITAL</t>
  </si>
  <si>
    <t>451340</t>
  </si>
  <si>
    <t>453310</t>
  </si>
  <si>
    <t>286326801</t>
  </si>
  <si>
    <t>450143</t>
  </si>
  <si>
    <t>1154612638</t>
  </si>
  <si>
    <t>670056</t>
  </si>
  <si>
    <t>670041</t>
  </si>
  <si>
    <t>450867</t>
  </si>
  <si>
    <t>450865</t>
  </si>
  <si>
    <t>450124</t>
  </si>
  <si>
    <t>450056</t>
  </si>
  <si>
    <t>451371</t>
  </si>
  <si>
    <t>451365</t>
  </si>
  <si>
    <t>451358</t>
  </si>
  <si>
    <t>452087</t>
  </si>
  <si>
    <t>452022</t>
  </si>
  <si>
    <t>451384</t>
  </si>
  <si>
    <t>450054</t>
  </si>
  <si>
    <t>451374</t>
  </si>
  <si>
    <t>670034</t>
  </si>
  <si>
    <t>670088</t>
  </si>
  <si>
    <t>670108</t>
  </si>
  <si>
    <t>450187</t>
  </si>
  <si>
    <t>SCENIC MOUNTAIN MEDICAL CENTER</t>
  </si>
  <si>
    <t>450653</t>
  </si>
  <si>
    <t>452079</t>
  </si>
  <si>
    <t>450424</t>
  </si>
  <si>
    <t>SAN ANGELO COMMUNITY MEDICAL CENTER</t>
  </si>
  <si>
    <t>SAINT JOSEPH REGIONAL HEALTH CENTER</t>
  </si>
  <si>
    <t>450011</t>
  </si>
  <si>
    <t>ROLLING PLAINS MEMORIAL HOSPITAL</t>
  </si>
  <si>
    <t>450055</t>
  </si>
  <si>
    <t>670044</t>
  </si>
  <si>
    <t>183086102</t>
  </si>
  <si>
    <t>1306933692</t>
  </si>
  <si>
    <t>670098</t>
  </si>
  <si>
    <t>REFUGIO COUNTY MEMORIAL HOSPITAL DISTRICT</t>
  </si>
  <si>
    <t>451317</t>
  </si>
  <si>
    <t>REEVES COUNTY HOSPITAL DISTRICT</t>
  </si>
  <si>
    <t>451377</t>
  </si>
  <si>
    <t>PROVIDENCE HOSPITAL OF NORTH HOUSTON LLC</t>
  </si>
  <si>
    <t>370663201</t>
  </si>
  <si>
    <t>1467836841</t>
  </si>
  <si>
    <t>450042</t>
  </si>
  <si>
    <t>PROMISE HOSPITAL OF WICHITA FALLS INC</t>
  </si>
  <si>
    <t>339884401</t>
  </si>
  <si>
    <t>1346671849</t>
  </si>
  <si>
    <t>450099</t>
  </si>
  <si>
    <t>450688</t>
  </si>
  <si>
    <t>450833</t>
  </si>
  <si>
    <t>451338</t>
  </si>
  <si>
    <t>451372</t>
  </si>
  <si>
    <t>451355</t>
  </si>
  <si>
    <t>451361</t>
  </si>
  <si>
    <t>451304</t>
  </si>
  <si>
    <t>451347</t>
  </si>
  <si>
    <t>453035</t>
  </si>
  <si>
    <t>452062</t>
  </si>
  <si>
    <t>450678</t>
  </si>
  <si>
    <t>450875</t>
  </si>
  <si>
    <t>450891</t>
  </si>
  <si>
    <t>PECOS COUNTY MEMORIAL HOSPITAL</t>
  </si>
  <si>
    <t>451389</t>
  </si>
  <si>
    <t>PARMER COUNTY COMMUNITY HOSPITAL</t>
  </si>
  <si>
    <t>451300</t>
  </si>
  <si>
    <t>PARKVIEW REGIONAL HOSPITAL</t>
  </si>
  <si>
    <t>450400</t>
  </si>
  <si>
    <t>PARKLAND MEMORIAL HOSPITAL</t>
  </si>
  <si>
    <t>450015</t>
  </si>
  <si>
    <t>1932123247</t>
  </si>
  <si>
    <t>PALO PINTO GENERAL HOSPITAL</t>
  </si>
  <si>
    <t>450565</t>
  </si>
  <si>
    <t>450747</t>
  </si>
  <si>
    <t>1164510673</t>
  </si>
  <si>
    <t>PALACIOS COMMUNITY MEDICAL CENTER</t>
  </si>
  <si>
    <t>451332</t>
  </si>
  <si>
    <t>450804</t>
  </si>
  <si>
    <t>450661</t>
  </si>
  <si>
    <t>OCHILTREE GENERAL HOSPITAL</t>
  </si>
  <si>
    <t>451359</t>
  </si>
  <si>
    <t>453308</t>
  </si>
  <si>
    <t>450330</t>
  </si>
  <si>
    <t>450209</t>
  </si>
  <si>
    <t>1467442418</t>
  </si>
  <si>
    <t>670103</t>
  </si>
  <si>
    <t>451315</t>
  </si>
  <si>
    <t>450670</t>
  </si>
  <si>
    <t>1750819025</t>
  </si>
  <si>
    <t>450641</t>
  </si>
  <si>
    <t>NIX HOSPITALS SYSTEM LLC</t>
  </si>
  <si>
    <t>297342201</t>
  </si>
  <si>
    <t>1801168190</t>
  </si>
  <si>
    <t>NEW LIFECARE HOSPITALS OF NORTH TEXAS LLC</t>
  </si>
  <si>
    <t>331172201</t>
  </si>
  <si>
    <t>1023451077</t>
  </si>
  <si>
    <t>NAVARRO REGIONAL HOSPITAL</t>
  </si>
  <si>
    <t>450447</t>
  </si>
  <si>
    <t>NACOGDOCHES MEDICAL CENTER</t>
  </si>
  <si>
    <t>450656</t>
  </si>
  <si>
    <t>450508</t>
  </si>
  <si>
    <t>451335</t>
  </si>
  <si>
    <t>450422</t>
  </si>
  <si>
    <t>MOTHER FRANCES HOSPITAL WINNSBORO</t>
  </si>
  <si>
    <t>451381</t>
  </si>
  <si>
    <t>450102</t>
  </si>
  <si>
    <t>MOTHER FRANCES HOSPITAL JACKSONVILLE</t>
  </si>
  <si>
    <t>451319</t>
  </si>
  <si>
    <t>451386</t>
  </si>
  <si>
    <t>451342</t>
  </si>
  <si>
    <t>450176</t>
  </si>
  <si>
    <t>450133</t>
  </si>
  <si>
    <t>451323</t>
  </si>
  <si>
    <t>450152</t>
  </si>
  <si>
    <t>450379</t>
  </si>
  <si>
    <t>450844</t>
  </si>
  <si>
    <t>450820</t>
  </si>
  <si>
    <t>450537</t>
  </si>
  <si>
    <t>450051</t>
  </si>
  <si>
    <t>450539</t>
  </si>
  <si>
    <t>670023</t>
  </si>
  <si>
    <t>450723</t>
  </si>
  <si>
    <t>450755</t>
  </si>
  <si>
    <t>METHODIST HOSPITAL</t>
  </si>
  <si>
    <t>450388</t>
  </si>
  <si>
    <t>450165</t>
  </si>
  <si>
    <t>670055</t>
  </si>
  <si>
    <t>670122</t>
  </si>
  <si>
    <t>670077</t>
  </si>
  <si>
    <t>452035</t>
  </si>
  <si>
    <t>MEMORIAL MEDICAL CENTER SAN AUGUSTINE</t>
  </si>
  <si>
    <t>451360</t>
  </si>
  <si>
    <t>450211</t>
  </si>
  <si>
    <t>MEMORIAL MEDICAL CENTER</t>
  </si>
  <si>
    <t>451356</t>
  </si>
  <si>
    <t>450395</t>
  </si>
  <si>
    <t>450860</t>
  </si>
  <si>
    <t>MEMORIAL HERMANN SPECIALTY HOSPITAL KINGWOOD LLC</t>
  </si>
  <si>
    <t>670005</t>
  </si>
  <si>
    <t>673038</t>
  </si>
  <si>
    <t>MEMORIAL HERMANN HOSPITAL SYSTEM</t>
  </si>
  <si>
    <t>450684</t>
  </si>
  <si>
    <t>450847</t>
  </si>
  <si>
    <t>450848</t>
  </si>
  <si>
    <t>450610</t>
  </si>
  <si>
    <t>MEMORIAL HERMANN HEALTH SYSTEM</t>
  </si>
  <si>
    <t>337433201</t>
  </si>
  <si>
    <t>453025</t>
  </si>
  <si>
    <t>1710985098</t>
  </si>
  <si>
    <t>450184</t>
  </si>
  <si>
    <t>451330</t>
  </si>
  <si>
    <t>450669</t>
  </si>
  <si>
    <t>MCCAMEY HOSPITAL</t>
  </si>
  <si>
    <t>451309</t>
  </si>
  <si>
    <t>MAYHILL BEHAVIORAL HEALTH LLC</t>
  </si>
  <si>
    <t>670010</t>
  </si>
  <si>
    <t>450465</t>
  </si>
  <si>
    <t>MARTIN COUNTY HOSPITAL DISTRICT</t>
  </si>
  <si>
    <t>451333</t>
  </si>
  <si>
    <t>MADISON ST JOSEPH HEALTH CENTER</t>
  </si>
  <si>
    <t>451316</t>
  </si>
  <si>
    <t>451351</t>
  </si>
  <si>
    <t>450162</t>
  </si>
  <si>
    <t>450876</t>
  </si>
  <si>
    <t>450702</t>
  </si>
  <si>
    <t>LITTLE RIVER HEALTHCARE CAMERON HOSPITAL</t>
  </si>
  <si>
    <t>342027501</t>
  </si>
  <si>
    <t>1619303641</t>
  </si>
  <si>
    <t>LIMESTONE MEDICAL CENTER</t>
  </si>
  <si>
    <t>451303</t>
  </si>
  <si>
    <t>451324</t>
  </si>
  <si>
    <t>451375</t>
  </si>
  <si>
    <t>451376</t>
  </si>
  <si>
    <t>450643</t>
  </si>
  <si>
    <t>LAREDO MEDICAL CENTER</t>
  </si>
  <si>
    <t>450029</t>
  </si>
  <si>
    <t>670090</t>
  </si>
  <si>
    <t>LAMB HEALTHCARE CENTER</t>
  </si>
  <si>
    <t>450698</t>
  </si>
  <si>
    <t>450742</t>
  </si>
  <si>
    <t>LAKE GRANBURY MEDICAL CENTER</t>
  </si>
  <si>
    <t>450596</t>
  </si>
  <si>
    <t>452073</t>
  </si>
  <si>
    <t>KNAPP MEDICAL CENTER</t>
  </si>
  <si>
    <t>450128</t>
  </si>
  <si>
    <t>450775</t>
  </si>
  <si>
    <t>452023</t>
  </si>
  <si>
    <t>452016</t>
  </si>
  <si>
    <t>450827</t>
  </si>
  <si>
    <t>451364</t>
  </si>
  <si>
    <t>450194</t>
  </si>
  <si>
    <t>451363</t>
  </si>
  <si>
    <t>450241</t>
  </si>
  <si>
    <t>450352</t>
  </si>
  <si>
    <t>450659</t>
  </si>
  <si>
    <t>450638</t>
  </si>
  <si>
    <t>450709</t>
  </si>
  <si>
    <t>452118</t>
  </si>
  <si>
    <t>450101</t>
  </si>
  <si>
    <t>450604</t>
  </si>
  <si>
    <t>670080</t>
  </si>
  <si>
    <t>450068</t>
  </si>
  <si>
    <t>670076</t>
  </si>
  <si>
    <t>HENDRICK MEDICAL CENTER</t>
  </si>
  <si>
    <t>450229</t>
  </si>
  <si>
    <t>450475</t>
  </si>
  <si>
    <t>HEMPHILL COUNTY HOSPITAL</t>
  </si>
  <si>
    <t>450578</t>
  </si>
  <si>
    <t>451348</t>
  </si>
  <si>
    <t>673052</t>
  </si>
  <si>
    <t>673042</t>
  </si>
  <si>
    <t>HEALTHSOUTH REHABILITATION HOSPITAL OF ROUND ROCK</t>
  </si>
  <si>
    <t>673032</t>
  </si>
  <si>
    <t>HEALTHSOUTH REHABILITATION HOSPITAL OF RICHARDSON</t>
  </si>
  <si>
    <t>673029</t>
  </si>
  <si>
    <t>673066</t>
  </si>
  <si>
    <t>673043</t>
  </si>
  <si>
    <t>673039</t>
  </si>
  <si>
    <t>673034</t>
  </si>
  <si>
    <t>453059</t>
  </si>
  <si>
    <t>453057</t>
  </si>
  <si>
    <t>HEALTHSOUTH REHABILIATION HOSPITAL OF ARLINGTON</t>
  </si>
  <si>
    <t>453040</t>
  </si>
  <si>
    <t>453031</t>
  </si>
  <si>
    <t>673044</t>
  </si>
  <si>
    <t>673054</t>
  </si>
  <si>
    <t>453047</t>
  </si>
  <si>
    <t>453309</t>
  </si>
  <si>
    <t>453029</t>
  </si>
  <si>
    <t>453042</t>
  </si>
  <si>
    <t>670124</t>
  </si>
  <si>
    <t>450032</t>
  </si>
  <si>
    <t>HARRIS COUNTY HOSPITAL DISTRICT</t>
  </si>
  <si>
    <t>450289</t>
  </si>
  <si>
    <t>HARLINGEN MEDICAL CENTER LP</t>
  </si>
  <si>
    <t>450855</t>
  </si>
  <si>
    <t>HARDEMAN COUNTY MEMORIAL HOSPITAL</t>
  </si>
  <si>
    <t>451352</t>
  </si>
  <si>
    <t>094131202</t>
  </si>
  <si>
    <t>1396739710</t>
  </si>
  <si>
    <t>HAMILTON HOSPITAL</t>
  </si>
  <si>
    <t>451354</t>
  </si>
  <si>
    <t>451392</t>
  </si>
  <si>
    <t>450104</t>
  </si>
  <si>
    <t>GRIMES ST JOSEPH HEALTH CENTER</t>
  </si>
  <si>
    <t>451322</t>
  </si>
  <si>
    <t>450085</t>
  </si>
  <si>
    <t>451369</t>
  </si>
  <si>
    <t>451385</t>
  </si>
  <si>
    <t>1962455832</t>
  </si>
  <si>
    <t>094095902</t>
  </si>
  <si>
    <t>1689663007</t>
  </si>
  <si>
    <t>450235</t>
  </si>
  <si>
    <t>450090</t>
  </si>
  <si>
    <t>450880</t>
  </si>
  <si>
    <t>450853</t>
  </si>
  <si>
    <t>451391</t>
  </si>
  <si>
    <t>450092</t>
  </si>
  <si>
    <t>670068</t>
  </si>
  <si>
    <t>FIRST TEXAS HOSPITAL CARROLLTON LLC</t>
  </si>
  <si>
    <t>354160901</t>
  </si>
  <si>
    <t>1336533595</t>
  </si>
  <si>
    <t>451370</t>
  </si>
  <si>
    <t>FALLS COMMUNITY HOSPITAL AND CLINIC</t>
  </si>
  <si>
    <t>450348</t>
  </si>
  <si>
    <t>450196</t>
  </si>
  <si>
    <t>670078</t>
  </si>
  <si>
    <t>670115</t>
  </si>
  <si>
    <t>451343</t>
  </si>
  <si>
    <t>148322401</t>
  </si>
  <si>
    <t>1366427130</t>
  </si>
  <si>
    <t>450107</t>
  </si>
  <si>
    <t>450024</t>
  </si>
  <si>
    <t>EL PASO CHILDRENS HOSPITAL</t>
  </si>
  <si>
    <t>453313</t>
  </si>
  <si>
    <t>EL CAMPO MEMORIAL HOSPITAL</t>
  </si>
  <si>
    <t>450694</t>
  </si>
  <si>
    <t>450132</t>
  </si>
  <si>
    <t>670107</t>
  </si>
  <si>
    <t>450411</t>
  </si>
  <si>
    <t>451380</t>
  </si>
  <si>
    <t>451367</t>
  </si>
  <si>
    <t>450658</t>
  </si>
  <si>
    <t>450210</t>
  </si>
  <si>
    <t>450877</t>
  </si>
  <si>
    <t>DRISCOLL CHILDRENS HOSPITAL</t>
  </si>
  <si>
    <t>453301</t>
  </si>
  <si>
    <t>DIMMIT REGIONAL HOSPITAL</t>
  </si>
  <si>
    <t>450147</t>
  </si>
  <si>
    <t>1851343909</t>
  </si>
  <si>
    <t>670116</t>
  </si>
  <si>
    <t>450271</t>
  </si>
  <si>
    <t>450155</t>
  </si>
  <si>
    <t>450869</t>
  </si>
  <si>
    <t>450489</t>
  </si>
  <si>
    <t>670112</t>
  </si>
  <si>
    <t>CUERO COMMUNITY HOSPITAL</t>
  </si>
  <si>
    <t>450597</t>
  </si>
  <si>
    <t>CROSBYTON CLINIC HOSPITAL</t>
  </si>
  <si>
    <t>451345</t>
  </si>
  <si>
    <t>451353</t>
  </si>
  <si>
    <t>670062</t>
  </si>
  <si>
    <t>1518348747</t>
  </si>
  <si>
    <t>COVENANT MEDICAL CENTER</t>
  </si>
  <si>
    <t>453306</t>
  </si>
  <si>
    <t>452102</t>
  </si>
  <si>
    <t>450040</t>
  </si>
  <si>
    <t>451308</t>
  </si>
  <si>
    <t>451373</t>
  </si>
  <si>
    <t>451379</t>
  </si>
  <si>
    <t>CORPUS CHRISTI REHABILITATION HOSPITAL LLC</t>
  </si>
  <si>
    <t>673053</t>
  </si>
  <si>
    <t>CORNERSTONE REGIONAL HOSPITAL</t>
  </si>
  <si>
    <t>450825</t>
  </si>
  <si>
    <t>COON MEMORIAL HOSPITAL</t>
  </si>
  <si>
    <t>451331</t>
  </si>
  <si>
    <t>COOK CHILDREN'S MEDICAL CENTER</t>
  </si>
  <si>
    <t>453300</t>
  </si>
  <si>
    <t>452029</t>
  </si>
  <si>
    <t>CONCHO COUNTY HOSPITAL</t>
  </si>
  <si>
    <t>451325</t>
  </si>
  <si>
    <t>450072</t>
  </si>
  <si>
    <t>281406304</t>
  </si>
  <si>
    <t>451382</t>
  </si>
  <si>
    <t>1346544616</t>
  </si>
  <si>
    <t>450370</t>
  </si>
  <si>
    <t>450662</t>
  </si>
  <si>
    <t>450711</t>
  </si>
  <si>
    <t>450672</t>
  </si>
  <si>
    <t>450087</t>
  </si>
  <si>
    <t>450651</t>
  </si>
  <si>
    <t>450403</t>
  </si>
  <si>
    <t>450822</t>
  </si>
  <si>
    <t>450634</t>
  </si>
  <si>
    <t>450675</t>
  </si>
  <si>
    <t>450647</t>
  </si>
  <si>
    <t>COLLEGE STATION MEDICAL CENTER</t>
  </si>
  <si>
    <t>020860501</t>
  </si>
  <si>
    <t>450299</t>
  </si>
  <si>
    <t>1467403477</t>
  </si>
  <si>
    <t>453054</t>
  </si>
  <si>
    <t>CLAY COUNTY MEMORIAL HOSPITAL</t>
  </si>
  <si>
    <t>451362</t>
  </si>
  <si>
    <t>450023</t>
  </si>
  <si>
    <t>450163</t>
  </si>
  <si>
    <t>450046</t>
  </si>
  <si>
    <t>1689641680</t>
  </si>
  <si>
    <t>450828</t>
  </si>
  <si>
    <t>450082</t>
  </si>
  <si>
    <t>450237</t>
  </si>
  <si>
    <t>453315</t>
  </si>
  <si>
    <t>450236</t>
  </si>
  <si>
    <t>450034</t>
  </si>
  <si>
    <t>450801</t>
  </si>
  <si>
    <t>453065</t>
  </si>
  <si>
    <t>450369</t>
  </si>
  <si>
    <t>453316</t>
  </si>
  <si>
    <t>453302</t>
  </si>
  <si>
    <t>450193</t>
  </si>
  <si>
    <t>452032</t>
  </si>
  <si>
    <t>452107</t>
  </si>
  <si>
    <t>452034</t>
  </si>
  <si>
    <t>450674</t>
  </si>
  <si>
    <t>450644</t>
  </si>
  <si>
    <t>670106</t>
  </si>
  <si>
    <t>450222</t>
  </si>
  <si>
    <t>450617</t>
  </si>
  <si>
    <t>450097</t>
  </si>
  <si>
    <t>673027</t>
  </si>
  <si>
    <t>CEDAR PARK REGIONAL MEDICAL CENTER</t>
  </si>
  <si>
    <t>670043</t>
  </si>
  <si>
    <t>670061</t>
  </si>
  <si>
    <t>451350</t>
  </si>
  <si>
    <t>451312</t>
  </si>
  <si>
    <t>451305</t>
  </si>
  <si>
    <t>BROWNWOOD REGIONAL MEDICAL CENTER</t>
  </si>
  <si>
    <t>450587</t>
  </si>
  <si>
    <t>450200</t>
  </si>
  <si>
    <t>453036</t>
  </si>
  <si>
    <t>BIG BEND REGIONAL MEDICAL CENTER</t>
  </si>
  <si>
    <t>451378</t>
  </si>
  <si>
    <t>450213</t>
  </si>
  <si>
    <t>450253</t>
  </si>
  <si>
    <t>451320</t>
  </si>
  <si>
    <t>BAYLOR UNIVERSITY MEDICAL CENTER</t>
  </si>
  <si>
    <t>450021</t>
  </si>
  <si>
    <t>450890</t>
  </si>
  <si>
    <t>670082</t>
  </si>
  <si>
    <t>BAYLOR MEDICAL CENTER AT WAXAHACHIE</t>
  </si>
  <si>
    <t>450372</t>
  </si>
  <si>
    <t>450079</t>
  </si>
  <si>
    <t>450563</t>
  </si>
  <si>
    <t>BAYLOR HEART AND VASCULAR CENTER</t>
  </si>
  <si>
    <t>450851</t>
  </si>
  <si>
    <t>450586</t>
  </si>
  <si>
    <t>450137</t>
  </si>
  <si>
    <t>450788</t>
  </si>
  <si>
    <t>450231</t>
  </si>
  <si>
    <t>450346</t>
  </si>
  <si>
    <t>BALLINGER MEMORIAL HOSPITAL</t>
  </si>
  <si>
    <t>451310</t>
  </si>
  <si>
    <t>450808</t>
  </si>
  <si>
    <t>452114</t>
  </si>
  <si>
    <t>450389</t>
  </si>
  <si>
    <t>ASPIRE HOSPITAL LLC</t>
  </si>
  <si>
    <t>670093</t>
  </si>
  <si>
    <t>ARISE HEALTHCARE SYSTEM LLC</t>
  </si>
  <si>
    <t>334284201</t>
  </si>
  <si>
    <t>1295173664</t>
  </si>
  <si>
    <t>ANSON HOSPITAL DISTRICT</t>
  </si>
  <si>
    <t>450078</t>
  </si>
  <si>
    <t>ANDREWS COUNTY HOSPITAL DISTRICT</t>
  </si>
  <si>
    <t>450144</t>
  </si>
  <si>
    <t>670071</t>
  </si>
  <si>
    <t>450272</t>
  </si>
  <si>
    <t>1821009242</t>
  </si>
  <si>
    <t>AD HOSPITAL EAST LLC</t>
  </si>
  <si>
    <t>670102</t>
  </si>
  <si>
    <t>ABILENE REGIONAL MEDICAL CENTER</t>
  </si>
  <si>
    <t>ASPIRE HOSPITAL, LLC</t>
  </si>
  <si>
    <t>1144566316</t>
  </si>
  <si>
    <t>325449201</t>
  </si>
  <si>
    <t>1548269590</t>
  </si>
  <si>
    <t>154632701</t>
  </si>
  <si>
    <t>CHILLICOTHE HOSPITAL DISTRICT</t>
  </si>
  <si>
    <t>451366</t>
  </si>
  <si>
    <t>COCHRAN MEMORIAL HOSPITAL</t>
  </si>
  <si>
    <t>451393</t>
  </si>
  <si>
    <t>1952732653</t>
  </si>
  <si>
    <t>343799801</t>
  </si>
  <si>
    <t>451313</t>
  </si>
  <si>
    <t>451344</t>
  </si>
  <si>
    <t>451341</t>
  </si>
  <si>
    <t>HASKELL MEMORIAL HOSPITAL</t>
  </si>
  <si>
    <t>HOUSTON HOSPITAL FOR SPECIALIZED SURGERY</t>
  </si>
  <si>
    <t>HUNTSVILLE MEMORIAL HOSPITAL</t>
  </si>
  <si>
    <t>451307</t>
  </si>
  <si>
    <t>450874</t>
  </si>
  <si>
    <t>451306</t>
  </si>
  <si>
    <t>LAVACA MEDICAL CENTER</t>
  </si>
  <si>
    <t>LUBBOCK HEART HOSPITAL</t>
  </si>
  <si>
    <t>670069</t>
  </si>
  <si>
    <t>METHODIST MCKINNEY HOSPITAL LLC</t>
  </si>
  <si>
    <t>670049</t>
  </si>
  <si>
    <t>NORTH CENTRAL SURGICAL CENTER LLP</t>
  </si>
  <si>
    <t>451334</t>
  </si>
  <si>
    <t>OCHILTREE HOSPITAL DISTRICT</t>
  </si>
  <si>
    <t>670109</t>
  </si>
  <si>
    <t>1659374585</t>
  </si>
  <si>
    <t>343467201</t>
  </si>
  <si>
    <t>PINE CREEK MEDICAL CENTER, LLC</t>
  </si>
  <si>
    <t>451329</t>
  </si>
  <si>
    <t>1881697316</t>
  </si>
  <si>
    <t>451301</t>
  </si>
  <si>
    <t>121806703</t>
  </si>
  <si>
    <t>SHRINERS HOSPITAL FOR CHILDREN-</t>
  </si>
  <si>
    <t>450856</t>
  </si>
  <si>
    <t>670006</t>
  </si>
  <si>
    <t>450834</t>
  </si>
  <si>
    <t>450893</t>
  </si>
  <si>
    <t>451339</t>
  </si>
  <si>
    <t>450883</t>
  </si>
  <si>
    <t>TROPHY CLUB MEDICAL CENTER LP</t>
  </si>
  <si>
    <t>VHS HARLINGEN HOSPITAL COMPANY LLC-</t>
  </si>
  <si>
    <t>452094</t>
  </si>
  <si>
    <t>378081901</t>
  </si>
  <si>
    <t>1669821161</t>
  </si>
  <si>
    <t>211454803</t>
  </si>
  <si>
    <t>1548495740</t>
  </si>
  <si>
    <t>338014903</t>
  </si>
  <si>
    <t>1568885549</t>
  </si>
  <si>
    <t>Master NPI</t>
  </si>
  <si>
    <t>SAINT JOSEPH MEDICAL CENTER</t>
  </si>
  <si>
    <t>TIRR MEMORIAL HERMANN</t>
  </si>
  <si>
    <t>SAINT LUKE'S AT VINTAGE</t>
  </si>
  <si>
    <t>PROVIDENCE HOSPITAL OF NORTH HOUSTON</t>
  </si>
  <si>
    <t>COMANCHE COUNTY MEDICAL CENTER COMPANY-COMANCHE COUNTY MEDICAL CENTER</t>
  </si>
  <si>
    <t>CHRISTUS CONTINUING CARE</t>
  </si>
  <si>
    <t>REAGAN HOSPITAL DISTRICT-REAGAN MEMORIAL HOSPITAL</t>
  </si>
  <si>
    <t>SETON FAMILY OF HOSPITALS-SETON SMITHVILLE REGIONAL HOSPITAL</t>
  </si>
  <si>
    <t>ROCK PRAIRIE BEHAVIORAL HEALTH</t>
  </si>
  <si>
    <t>SCOTT AND WHITE HOSPITAL TAYLOR-BAYLOR SCOTT AND WHITE MEDICAL CENTER TAYLOR</t>
  </si>
  <si>
    <t>SCOTT &amp; WHITE HOSPITAL-MARBLE FALLS-BAYLOR SCOTT &amp; WHITE MEDICAL CENTER-MARBLE FALLS</t>
  </si>
  <si>
    <t>SETON FAMILY OF HOSPITALS-ASCENSION SETON EDGAR B DAVIS</t>
  </si>
  <si>
    <t>POST ACUTE MEDICAL AT LULING LLC-WARM SPRINGS SPECIALTY HOSPITAL OF LULING LLC</t>
  </si>
  <si>
    <t>SETON FAMILY OF HOSPITALS-SETON HIGHLAND LAKES</t>
  </si>
  <si>
    <t>CHG HOSPITAL AUSTIN LLC-CORNERSTONE SPECIALTY HOSPITALS AUSTIN</t>
  </si>
  <si>
    <t>WARM SPRINGS REHABILITATION HOSPITAL OF KYLE LLC-</t>
  </si>
  <si>
    <t>ADVENTIST HEALTH SYSTEM SUNBELT INC-CENTRAL TEXASMEDICAL CENTER</t>
  </si>
  <si>
    <t>NEURO INSTITUTE OF AUSTIN LP-TEXAS NEUROREHAB CENTER</t>
  </si>
  <si>
    <t>SETON FAMILY OF HOSPITALS-SETON SOUTHWEST HOSPITAL</t>
  </si>
  <si>
    <t>ST DAVIDS COMMUNITY HOSPITAL-ST DAVIDS MEDICAL CENTER</t>
  </si>
  <si>
    <t>ST DAVIDS HEALTHCARE PARTNERSHIP LP LLP-SOUTH AUSTIN HOSPITAL</t>
  </si>
  <si>
    <t>ST DAVIDS HEALTHCARE PARTNERSHIP LP LLP-ROUND ROCK MEDICAL CENTER</t>
  </si>
  <si>
    <t>ST DAVID'S HEALTHCARE PARTNERSHIP LP LLP-ST DAVID'S NORTH AUSTIN MEDICAL CENTER</t>
  </si>
  <si>
    <t>SETON FAMILY OF HOSPITALS-SETON MEDICAL CENTER HAYS</t>
  </si>
  <si>
    <t>CENTRAL TEXAS REHABILITATION HOSPITAL LLC-CENTRAL TEXAS REHABILITATION HOSPITAL</t>
  </si>
  <si>
    <t>SETON FAMILY OF HOSPITALS-SETON MEDICAL CENTER WILLIAMSON</t>
  </si>
  <si>
    <t>HEALTHSOUTH REHABILITATION HOSPITAL OF AUSTIN</t>
  </si>
  <si>
    <t>094345801</t>
  </si>
  <si>
    <t>1568435279</t>
  </si>
  <si>
    <t>HEALTHSOUTH REHAB HOSPITAL OF SOUTH AUSTIN LLC-HEALTHSOUTH REHABILITATION HOSPITAL OF AUSTIN</t>
  </si>
  <si>
    <t>PAM REHABILITATION HOSPITAL OF ROUND ROCK LLC-PAM REHABILITATION HOSPITAL OF ROUND ROCK</t>
  </si>
  <si>
    <t>SCOTT AND WHITE HOSPITAL ROUND ROCK-BAYLOR SCOTT &amp; WHITE MEDICAL CENTER - ROUND ROCK</t>
  </si>
  <si>
    <t>AUSTIN CENTER FOR OUTPATIENT SURGERY LP-NORTHWEST HILLS SURGICAL HOSPITAL</t>
  </si>
  <si>
    <t>VIBRA REHABILITATION HOSPITAL OF LAKE TRAVIS</t>
  </si>
  <si>
    <t>1194137364</t>
  </si>
  <si>
    <t>SETON FAMILY OF HOSPITALS-SETON MEDICAL CENTER AUSTIN</t>
  </si>
  <si>
    <t>ESWCT CEDAR PARK, LLC-BAYLOR SCOTT &amp; WHITE EMERGENCY MEDICAL CTR AT CEDA</t>
  </si>
  <si>
    <t>SETON FAMILY OF HOSPITALS-ASCENSION SETON NORTHWEST</t>
  </si>
  <si>
    <t>THE HOSPITAL AT WESTLAKE MEDICAL CENTER</t>
  </si>
  <si>
    <t>HORIZON HEALTH AUSTIN INC-AUSTIN LAKES HOSPITAL</t>
  </si>
  <si>
    <t>Institution for Mental Disease</t>
  </si>
  <si>
    <t>TEXAS OAKS PSYCHIATRIC HOSPITAL LP-AUSTIN OAKS HOSPITAL</t>
  </si>
  <si>
    <t>SETON SHOAL CREEK HOSPITAL</t>
  </si>
  <si>
    <t>BRENTWOOD ACQUISITION SHREVEPORT INC-UNIVERSAL HEALTH SERVICES INC</t>
  </si>
  <si>
    <t>1417979204</t>
  </si>
  <si>
    <t>GEORGETOWN BEHAVIORAL HEALTH INSTITUTE, LLC-GEORGETOWN BEHAVIORAL HEALTH INSTITUTE LLC</t>
  </si>
  <si>
    <t>ROCK SPRINGS, LLC-</t>
  </si>
  <si>
    <t>SRP OCEANS HOSPITAL OF SAN MARCOS LLC-WELLBRIDGE HEALTHCARE OF SAN MARCOS</t>
  </si>
  <si>
    <t>AUSTIN BEHAVIORAL HOSPITAL LLC-CROSS CREEK HOSPITAL</t>
  </si>
  <si>
    <t>HILL COUNTRY COUNSELING-HILL COUNTRY CONSELING</t>
  </si>
  <si>
    <t>SETON HEALTHCARE-DELL CHILDRENS MEDICAL CENTER</t>
  </si>
  <si>
    <t>TARRANT COUNTY HOSPITAL DISTRICT-JPS HEALTH NETWORK</t>
  </si>
  <si>
    <t>DECATUR HOSPITAL AUTHORITY-WISE HEALTH SYSTEM</t>
  </si>
  <si>
    <t>Decatur Hospital Authority</t>
  </si>
  <si>
    <t>1123076401</t>
  </si>
  <si>
    <t>Texas Rehabilitation Hospital of Arlington</t>
  </si>
  <si>
    <t>1962809541</t>
  </si>
  <si>
    <t>BAYLOR MEDICAL CENTER AT CARROLLTON-BAYLOR SCOTT &amp; WHITE MEDICAL CENTER -CARROLLTON</t>
  </si>
  <si>
    <t>KINDRED HOSPITALS LIMITED PARTNERSHIP-KINDRED HOSPITAL - MANSFIELD</t>
  </si>
  <si>
    <t>FLOWER MOUND HOSPITAL PARTNERS LLC-TEXAS HEALTH PRESBYTERIAN HOSPITAL FLOWER MOUND</t>
  </si>
  <si>
    <t>NORTH TEXAS - MCA, LLC-MEDICAL CENTER OF ALLIANCE</t>
  </si>
  <si>
    <t>FT WORTH SURGICARE PARTNERS, LTD-BAYLOR SURGICAL HOSPITAL AT FT WORTH</t>
  </si>
  <si>
    <t>REHABILIATION INSTITUTE OF DENTON LLC-SELELCT REHABILITATIOIN HOSPITAL OF DENTON</t>
  </si>
  <si>
    <t>TEXAS HEALTH SPECIALTY HOSPITAL FORT WORTH-</t>
  </si>
  <si>
    <t>TEXAS GENERAL HOSPITAL VZRMC LP</t>
  </si>
  <si>
    <t>METHODIST HOSPITAL OF DALLAS-METHODIST MANSFIELD MEDICAL CENTER</t>
  </si>
  <si>
    <t>EBD BEMC BURLESON, LLC-BAYLOR SCOTT AND WHITE EMERGENCY HOSPITAL</t>
  </si>
  <si>
    <t>COLUMBIA PLAZA MED CTR OF FT WORTH SUBSIDIARY LP-PLAZA MEDICAL CENTER OF FORT WORTH</t>
  </si>
  <si>
    <t>SOUTHLAKE SPECIALTY HOSPITAL LLC-TEXAS HEALTH HARRIS METHODIST HOSPITAL SOUTHLAKE</t>
  </si>
  <si>
    <t>KINDRED HOSPITALS LIMITED PARTNERSHIP-KINDRED HOSPITAL-FORT WORTH</t>
  </si>
  <si>
    <t>WEATHERFORD REHABILITATION HOSPITAL LLC</t>
  </si>
  <si>
    <t>1558758490</t>
  </si>
  <si>
    <t>COLUMBIA NORTH HILLS HOSPITAL-COLUMBIA NORTH HILLS HOSPITA</t>
  </si>
  <si>
    <t>TEXAS HEALTH HARRIS METHODIST HOSPITAL AZLE-</t>
  </si>
  <si>
    <t>HEALTHSOUTH REHAB HOSPITAL OF THE MID-CITIES LLC-RELIANT REHABILITATION HOSPITAL MID CITIES</t>
  </si>
  <si>
    <t>TEXAS HEALTH HARRIS METHODIST HOSPITAL SOUTHWEST F-</t>
  </si>
  <si>
    <t>WEATHERFORD HEALTH SERVICES, LLC-</t>
  </si>
  <si>
    <t>AMH CATH LABS, LLC-TEXAS HEALTH HEART &amp; VASCULAR HOSPITAL ARLINGTON</t>
  </si>
  <si>
    <t>GLOBALREHAB FORT WORTH, LP-</t>
  </si>
  <si>
    <t>TEXAS HEALTH HARRIS METHODIST HOSPITAL CLEBURNE-</t>
  </si>
  <si>
    <t>TEXAS HEALTH HARRIS METHODIST HOSPITAL FORT WORTH-</t>
  </si>
  <si>
    <t>COLUMBIA MEDICAL CENTER OF DENTON SUBSIDIARY LP-DENTON REGIONAL MEDICAL CENTER</t>
  </si>
  <si>
    <t>MEDICAL CENTER OF LEWISVILLE SUBSIDIARY LP-MEDICAL CENTER OF LEWISVILLE</t>
  </si>
  <si>
    <t>CORINTH INVESTOR HOLDINGS LLC-</t>
  </si>
  <si>
    <t>TEXAS HEALTH HARRIS METHODIST HOSPITAL ALLIANCE-</t>
  </si>
  <si>
    <t>THHBP MANAGEMENT COMPANY LLC-BAYLOR SCOTT AND WHITE THE HEART HOSPITAL DENTON</t>
  </si>
  <si>
    <t>TRANSITIONAL HOSPITALS CORPORATION OF TEXAS LLC-KINDRED HOSPITAL - TARRANT COUNTY</t>
  </si>
  <si>
    <t>1174692156</t>
  </si>
  <si>
    <t>TEXAS HEALTH ARLINGTON MEMORIAL HOSPITAL-</t>
  </si>
  <si>
    <t>COLUMBIA MEDICAL CENTER OF ARLINGTON SUBSIDIARY LP-MEDICAL CENTER OF ARLINGTON</t>
  </si>
  <si>
    <t>BAYLOR MED CTR AT GRAPEVINE-BAYLOR SCOTT AND WHITE MEDICAL CENTER-GRAPEVINE</t>
  </si>
  <si>
    <t>TEXAS HEALTH HUGULEY INC-TEXAS HEALTH HUGULEY FORT WORTH SOUTH</t>
  </si>
  <si>
    <t>TEXAS HEALTH PRESBYTERIAN HOSPITAL DENTON-</t>
  </si>
  <si>
    <t>UHP LP</t>
  </si>
  <si>
    <t>HAVEN BEHAVIORAL SERVICES OF FRISCO LLC-HAVEN BEHAVIORAL HOSPITAL OF FRISCO</t>
  </si>
  <si>
    <t>SRP OCEANS HOSPITAL OF FORTWORTH LLC-WELLBRIDGE HEALTHCARE OF FORT WORTH</t>
  </si>
  <si>
    <t>MESA SPRINGS, LLC-</t>
  </si>
  <si>
    <t>MAYHILL BEHAVIORAL HEALTH LLC-</t>
  </si>
  <si>
    <t>1316242910</t>
  </si>
  <si>
    <t>CARROLLTON SPRINGS LLC</t>
  </si>
  <si>
    <t>MILLWOOD HOSPITAL</t>
  </si>
  <si>
    <t>COOK CHILDREN'S MEDICAL CENTER-</t>
  </si>
  <si>
    <t>CHRISTUS SPOHN HEALTH SYSTEM CORPORATION-CHRISTUS SPOHN HOSPITAL CORPUS CHRISTI</t>
  </si>
  <si>
    <t>KARNES COUNTY HOSPITAL DISTRICT-OTTO KAISER MEMORIAL HOSPITAL</t>
  </si>
  <si>
    <t>CHRISTUS SPOHN HEALTH SYSTEM CORPORATION-CHRISTUS SPOHN HOSPITAL BEEVILLE</t>
  </si>
  <si>
    <t>CHRISTUS SPOHN HEALTH SYSTEM CORPORATION-CHRISTUS SPOHN HOSPITAL KLEBERG</t>
  </si>
  <si>
    <t>CHRISTUS SPOHN HEALTH SYSTEM CORPORATION-</t>
  </si>
  <si>
    <t>Dubuis Hospital of Corpus Christi</t>
  </si>
  <si>
    <t>1982792552</t>
  </si>
  <si>
    <t>DETAR HOSPITAL-DETAR HOSPITAL NAVARRO</t>
  </si>
  <si>
    <t>POST ACUTE MEDICAL AT VICTORIA LLC-PAM SPECIALTY HOSPITAL OF VICTORIA NORTH</t>
  </si>
  <si>
    <t>BAY AREA HEALTHCARE GROUP, LTD-CORPUS CHRISTI MEDICAL CENTER</t>
  </si>
  <si>
    <t>POST ACUTE SPECIALTY HOSPITAL OF VICTORIA LLC-PAM SPECIALTY HOSPITAL OF VICTORIA SOUTH</t>
  </si>
  <si>
    <t>POST ACUTE SPECIALTY HOSPITAL OF CORPUS CHRISTI LL</t>
  </si>
  <si>
    <t>329971101</t>
  </si>
  <si>
    <t>1366874620</t>
  </si>
  <si>
    <t>WARM SPRINGS REHABILITATION HOSPITAL OF VICTORIA L-PAM REHABILITATION HOSPITAL OF VICTORIA</t>
  </si>
  <si>
    <t>CBSH,LLC-</t>
  </si>
  <si>
    <t>POST ACUTE MEDICAL REHABILITATION HOSPITAL OF CORP-PAM REHABILITATION HOSPITAL OF CORPUS CHRISTI</t>
  </si>
  <si>
    <t>CITIZENS MEDICAL CENTER COUNTY OF VICTORIA-CITIZENS MEDICAL CENTER</t>
  </si>
  <si>
    <t>ECTOR COUNTY HOSPITAL DISTRICT-MEDICAL CENTER HOSPITAL</t>
  </si>
  <si>
    <t>HANSFORD COUNTY HOSPITAL DISTRICT-HANSFORD COUNTY HOSPITAL</t>
  </si>
  <si>
    <t>GRAHAM HOSPITAL DISTRICT-</t>
  </si>
  <si>
    <t>ELECTRA HOSPITAL DISTRICT-ELECTRA MEMORIAL HOSPITAL</t>
  </si>
  <si>
    <t>LILLIAN M HUDSPETH MEMORIAL ER PHYS-LILLIAN M HUDSPETH MEMORIAL HOSPITAL</t>
  </si>
  <si>
    <t>MEMORIAL HOSPITAL</t>
  </si>
  <si>
    <t>JACK COUNTY HOSPITAL DISTRICT-FAITH COMMUNITY HOSPITAL</t>
  </si>
  <si>
    <t>COUNTY OF YOAKUM-YOAKUM COUNTY HOSPITAL</t>
  </si>
  <si>
    <t>PECOS COUNTY MEMORIAL HOSPITAL-</t>
  </si>
  <si>
    <t>UVALDE COUNTY HOSPITAL AUTHORITY-UVALDE MEMORIAL HOSPITAL</t>
  </si>
  <si>
    <t>WINKLER COUNTY HOSPITAL DISTRICT-WINKLER COUNTY MEMORIAL HOSPITAL</t>
  </si>
  <si>
    <t>COUNTY OF WARD-WARD MEMORIAL HOSPITAL</t>
  </si>
  <si>
    <t>MOORE COUNTY HOSPITAL-</t>
  </si>
  <si>
    <t>EASTLAND MEMORIAL HOSPITAL DISTRICT-EASTLAND MEMORIAL HOSPITAL</t>
  </si>
  <si>
    <t>FISHER COUNTY HOSPITAL-FISHER COUNTY HOSPITAL DISTRICT</t>
  </si>
  <si>
    <t>SCURRY COUNTY HOSPITAL DISTRICT-D.M. COGDELL MEMORIAL HOSPITAL</t>
  </si>
  <si>
    <t>KNOX COUNTY HOSPITAL DISTRICT-KNOX COUNTY HOSPITAL</t>
  </si>
  <si>
    <t>ANSON HOSPITAL DISTRICT-</t>
  </si>
  <si>
    <t>NORTH WHEELER COUNTY HOSTPIAL DISTRICT-PARKVIEW HOSPITAL</t>
  </si>
  <si>
    <t>HAMLIN HOSPITAL DISTRICT-HAMLIN MEMORIAL HOSPITAL</t>
  </si>
  <si>
    <t>THROCKMORTON COUNTY MEMORIAL HOSPITAL-</t>
  </si>
  <si>
    <t>CHILDRESS COUNTY HOSPITAL DISTRICT-CHILDRESS REGIONAL MEDICAL CENTER</t>
  </si>
  <si>
    <t>WILBARGER COUNTY HOSPITAL DISTRICT-WILBARGER GENERAL HOSPITAL</t>
  </si>
  <si>
    <t>CRANE COUNTY HOSPITAL DISTRICT-CRANE MEMORIAL HOSPITAL</t>
  </si>
  <si>
    <t>RANKIN COUNTY HOSPITAL DISTRICT</t>
  </si>
  <si>
    <t>NORTH RUNNELS COUNTY HOSPITAL-</t>
  </si>
  <si>
    <t>BAYLOR COUNTY HOSPITAL DISTRICT-SEYMOUR HOSPITAL</t>
  </si>
  <si>
    <t>MITCHELL COUNTY HOSPITAL DISTRICT-MITCHELL COUNTY HOSPITAL</t>
  </si>
  <si>
    <t>DAWSON COUNTY HOSPITAL DISTRICT-MEDICAL ARTS HOSPITAL</t>
  </si>
  <si>
    <t>VAL VERDE HOSPITAL CORPORATION-VAL VERDE REGIONAL MEDICAL CENTER</t>
  </si>
  <si>
    <t>GENERAL HOSPITAL-IRAAN GENERAL HOSPITAL</t>
  </si>
  <si>
    <t>STONEWALL MEMORIAL HOSPITAL DISTRICT-STONEWALL MEMORIAL HOSPITAL</t>
  </si>
  <si>
    <t>CASTRO COUNTY HOSPITAL DISTRICT-PLAINS MEMORIAL HOSPITAL</t>
  </si>
  <si>
    <t>SID PETERSON MEMORIAL HOSPITAL-PETERSON REGIONAL MEDICAL CENTER</t>
  </si>
  <si>
    <t>Jones County Regional Healthcare System</t>
  </si>
  <si>
    <t>PREFERRED HOSPITAL LEASING MULESHOE INC-MULESHOE AREA MEDICAL CENTER</t>
  </si>
  <si>
    <t>HEART OF TEXAS HEALTHCARE SYSTEM-</t>
  </si>
  <si>
    <t>PREFERRED HOSPITAL LEASING INC-COLLINGSWORTH GENERAL HOSPITAL</t>
  </si>
  <si>
    <t>FRIO HOSPITAL-FRIO REGIONAL SWING BED</t>
  </si>
  <si>
    <t>PREFERRED HOSPITAL LEASING COLEMAN INC-COLEMAN COUNTY MEDICAL CENTER COMPANY</t>
  </si>
  <si>
    <t>PRIME HEALTHCARE SERVICES PAMPA LLC-PAMPA REGIONAL MEDICAL CENTER</t>
  </si>
  <si>
    <t>DIMMIT REGIONAL HOSPITAL-</t>
  </si>
  <si>
    <t>PREFERRED HOSPITAL LEASING ELDORADO INC-SCHLEICHER COUNTY MEDICAL CENTER</t>
  </si>
  <si>
    <t>1285191452</t>
  </si>
  <si>
    <t>PREFERRED HOSPITAL LEASING JUNCTION INC-KIMBLE HOSPITAL</t>
  </si>
  <si>
    <t>PREFERRED HOSPITAL LEASING VAN HORN INC-CULBERSON HOSPITAL</t>
  </si>
  <si>
    <t>CONTINUECARE HOSPITAL AT HENDRICK MEDICAL CENTER-CONTINUE CARE HOSPITAL AT HENDRICK MEDICAL CENTER</t>
  </si>
  <si>
    <t>HEALTHSOUTH REHABILITATION-ENCOMPASS HEALTH REHABILITATION HOSPITAL OF MIDLA</t>
  </si>
  <si>
    <t>ODESSA REGIONAL HOSPITAL LP-ODESSA REGIONAL MEDICAL CENTER</t>
  </si>
  <si>
    <t>KPC PROMISE HOSPITAL OF WICHITA FALLS, LLC-KPC PROMISE HOSPITAL OF WICHITA FALLS</t>
  </si>
  <si>
    <t>KELL WEST REGIONAL HOSPITAL LLC-KELL WEST REGIONAL HOSPITAL</t>
  </si>
  <si>
    <t>HEALTHSOUTH REHABILITATION HOSPITAL OF ABILENE LLC-HEALTHSOUTH REHABILITATION HOSPITAL OF ABILENE</t>
  </si>
  <si>
    <t>CONTINUECARE HOSPITAL OF MIDLAND INC-</t>
  </si>
  <si>
    <t>HealthSouth Rehabilitation Hospital of Midland</t>
  </si>
  <si>
    <t>1033152004</t>
  </si>
  <si>
    <t>MIDLAND COUNTY HOSPITAL DISTRCT-MIDLAND MEMORIAL HOSPITAL</t>
  </si>
  <si>
    <t>WILBARGER COUNTY HOSPITAL DISTRICT-</t>
  </si>
  <si>
    <t>1962658302</t>
  </si>
  <si>
    <t>OCEANS BEHAVIORAL HOSPITAL OF ABILENE LLC-</t>
  </si>
  <si>
    <t>RIVER CREST HOSPITAL</t>
  </si>
  <si>
    <t>RED RIVER HOSPITAL LLC-RED RIVER HOSPITAL</t>
  </si>
  <si>
    <t>BEHAVIORAL HEALTH CENTER OF THE PERMIAN BASIN LLC-OCEANS BEHAVIORAL HOSPITAL OF PERMIAN BASIN</t>
  </si>
  <si>
    <t>UNIVERSITY OF TEXAS HEALTH SCIENCE CENTER AT TYLER-UT HEALTH CENTER-TYLER</t>
  </si>
  <si>
    <t>GAINESVILLE COMMUNITY HOSPITAL, INC.-NORTH TEXAS MEDICAL CENTER</t>
  </si>
  <si>
    <t>NACOGDOCHES COUNTY HOSPITAL DISTRICT-MEMORIAL HOSPITAL</t>
  </si>
  <si>
    <t>FANNIN COUNTY HOSPITAL AUTHORITY-TMC BONHAM HOSPITAL</t>
  </si>
  <si>
    <t>MUENSTER HOSPITAL DISTRICT-MUENSTER MEMORIAL HOSPITAL</t>
  </si>
  <si>
    <t>NOCONA HOSPITAL DISTRICT-NOCONA GENERAL HOSPITAL</t>
  </si>
  <si>
    <t>TITUS COUNTY MEM HOSP DIST-TITUS REGIONAL MEDICAL CENTER</t>
  </si>
  <si>
    <t>PREFERRED HOSPITAL LEASING HEMPHILL INC-SABINE COUNTY HOSPITAL</t>
  </si>
  <si>
    <t>JACKSONVILLE HOSPITAL LLC-UT HEALTH EAST TEXAS JACKSONVILLE HOSPITAL</t>
  </si>
  <si>
    <t>CARTHAGE HOSPITAL LLC-UT HEALTH EAST TEXAS CARTHAGE HOSPITAL</t>
  </si>
  <si>
    <t>QUITMAN HOSPITAL LLC-UT HEALTH EAST TEXAS</t>
  </si>
  <si>
    <t>MEMORIAL MEDICAL CENTER OF EAST TEXAS-MEMORIAL MED CTR OF EAST TX</t>
  </si>
  <si>
    <t>HENDERSON HOSPITAL LLC-UT HEALTH EAST TEXAS HENDERSON HOSPITAL</t>
  </si>
  <si>
    <t>PITTSBURG HOSPITAL LLC-UT HEALTH EAST TEXAS PITTSBURG HOSPITAL</t>
  </si>
  <si>
    <t>PALESTINE PRINCIPAL HEALTHCARE LIMITED PARTNERSHIP-PALESTINE REGIONAL MEDICAL CENTER</t>
  </si>
  <si>
    <t>CROCKETT MEDICAL CENTER LLC-CROCKETT MEDICAL CENTER</t>
  </si>
  <si>
    <t>ESSENT PRMC LP-PARIS REGIONAL MEDICAL CENTER</t>
  </si>
  <si>
    <t>SELECT SPECIALTY HOSPITAL LONGVIEW INC-SELECT SPECIALTY HOSPITAL LONGVIEW</t>
  </si>
  <si>
    <t>UHS OF TEXOMA INC-TEXOMA MEDICAL CENTER</t>
  </si>
  <si>
    <t>The Good Shepherd Hospital, Inc.</t>
  </si>
  <si>
    <t>MOTHER FRANCES HOSPITAL REGIONAL HEALTHCARE CENTER-MOTHER FRANCES HOSPITAL</t>
  </si>
  <si>
    <t>East Texas Medical Center Specialty Hospital</t>
  </si>
  <si>
    <t>1619092780</t>
  </si>
  <si>
    <t>LONGVIEW MEDICAL CENTER LP-LONGVIEW REGIONAL MEDICAL CENTER</t>
  </si>
  <si>
    <t>CHRISTUS HEALTH ARK LA TEX-CHRISTUS ST MICHAEL REHABILITATION HOSPITAL</t>
  </si>
  <si>
    <t>ATHENS HOSPITAL LLC-UT HEALTH EAST TEXAS ATHENS HOSPITAL</t>
  </si>
  <si>
    <t>TYLER REGIONAL HOSPITAL LLC-UT HEALTH EAST TEXAS TYLER REGIONAL HOSPITAL</t>
  </si>
  <si>
    <t>CHRISTUS HEALTH ARK LATEX-</t>
  </si>
  <si>
    <t>HERITAGE PARK SURGICAL HOSPITAL, LLC-BAYLOR SCOTT &amp; WHITE SURGICAL HOSPITAL AT SHERMAN</t>
  </si>
  <si>
    <t>PAM SQUARED AT TEXARKANA, LLC-</t>
  </si>
  <si>
    <t>REHABILITATION HOSPITAL LLC-UT HEALTH EAST TEXAS REHABILITATION HOSPITAL</t>
  </si>
  <si>
    <t>CHRISTUS GOOD SHEPHERD MEDICAL CENTER-CHRISTUS GOOD SHEPHERD MEDICAL CENTER MARSHALL</t>
  </si>
  <si>
    <t>BRIM HEALTHCARE OF TEXAS LLC-WADLEY REGIONAL MEDICAL CENTER</t>
  </si>
  <si>
    <t>PAM SPECIALTY HOSPITAL OF LUFKIN, LLC-</t>
  </si>
  <si>
    <t>SHERMAN GRAYSON HOSPITAL LLC-WILSON N JONES REGIONAL MEMORIAL CENTER</t>
  </si>
  <si>
    <t>OCEANS BEHAVORIAL HOSPITAL OF LUFKIN LLC-OCEANS BEHAVORIAL HOSPITAL OF LUFKIN</t>
  </si>
  <si>
    <t>AUDUBON BEHAVIORAL HEALTHCARE OF LONGVIEW LLC-OCEANS BEHAVIORAL HOSPITAL OF LONGVIEW</t>
  </si>
  <si>
    <t>GOODALL WITCHER HOSPITAL FOUNDATION</t>
  </si>
  <si>
    <t>GONZALES HEALTHCARE SYSTEMS-MEMORIAL HOSPITAL</t>
  </si>
  <si>
    <t>CORYELL COUNTY MEMORIAL HOSPITAL AUTHORITY-</t>
  </si>
  <si>
    <t>SOMERVELL COUNTY HOSPITAL DISTRICT-GLEN ROSE MEDICAL CENTER</t>
  </si>
  <si>
    <t>HAMILTON COUNTY HOSPITAL DISTRICT-HAMILTON GENERAL HOSPITAL</t>
  </si>
  <si>
    <t>FAIRFIELD HOSPITAL DISTRICT-FREESTONE MEDICAL CENTER</t>
  </si>
  <si>
    <t>JACKSON COUNTY HOSPITAL DISTRICT-JACKSON HEALTHCARE CENTER</t>
  </si>
  <si>
    <t>TEXAS HEALTH HARRIS METHODIST HOSPITAL STEPHENVILL-</t>
  </si>
  <si>
    <t>METROPLEX ADVENTIST HOSPITAL INC-ROLLINS BROOK COMMUNITY HOSPITAL</t>
  </si>
  <si>
    <t>BURLESON ST JOSEPH HEALTH CENTER-BURLESON ST. JOSEPH HEALTH CENTER</t>
  </si>
  <si>
    <t>COLUMBUS COMMUNITY HOSPITAL-</t>
  </si>
  <si>
    <t>HILL COUNTRY MEMORIAL HOSPITAL-HILL COUNTRY MEMORIAL HOSP</t>
  </si>
  <si>
    <t>SCOTT AND WHITE HOSPITAL - LLANO-BAYLOR SCOTT AND WHITE MEDICAL CENTER - LLANO</t>
  </si>
  <si>
    <t>Rockdale Blackhawk LLC</t>
  </si>
  <si>
    <t>CAHRMC LLC-RICE MEDICAL CENTER</t>
  </si>
  <si>
    <t>SCOTT &amp; WHITE HOSPITAL BRENHAM-BAYLOR SCOTT AND WHITE MEDICAL CENTER BRENHAM</t>
  </si>
  <si>
    <t>NHCI OF HILLSBORO INC-HILL REGIONAL HOSPITAL</t>
  </si>
  <si>
    <t>ST JOSEPH HEALTHSOUTH REHABILITATION HOSPITAL LLC-CHI ST JOSEPH REHABILITATION HOSPITAL</t>
  </si>
  <si>
    <t>HILLCREST BAPTIST MEDICAL CENTER-BAYLOR SCOTT AND WHITE MEDICAL CENTER HILLCREST</t>
  </si>
  <si>
    <t>HH KILLEEN HEALTH SYSTEM LLC-SETON MEDICAL CENTER HARKER HEIGHTS</t>
  </si>
  <si>
    <t>BRAZOS VALLEY PHYSICIANS ORGANIZATION MSO LLC-THE PHYSICIANS CENTRE HOSPITAL</t>
  </si>
  <si>
    <t>METROPLEX ADVENTIST HOSPITAL INC-METROPLEX HOSPITAL</t>
  </si>
  <si>
    <t>SCOTT AND WHITE MEMORIAL HOSPITAL-SCOTT AND WHITE MEDICAL CENTER TEMPLE</t>
  </si>
  <si>
    <t>PROVIDENCE HEALTH SERVICES OF WACO-PROVIDENCE HEALTHCARE NETWORK</t>
  </si>
  <si>
    <t>1053963009</t>
  </si>
  <si>
    <t>SCOTT &amp; WHITE CONTINUING CARE HOSPITAL-BAYLOR SCOTT &amp; WHITE CONTINUING CARE HOSPITAL</t>
  </si>
  <si>
    <t>HMIH CEDAR CREST LLC-CEDAR CREST HOSPITAL</t>
  </si>
  <si>
    <t>STRATEGIC BH-ROCK PRAIRIE BEHAVIORAL HEALTH</t>
  </si>
  <si>
    <t>LYNN COUNTY HOSPITAL-LYNN COUNTY HOSPITAL DISTRICT</t>
  </si>
  <si>
    <t>TERRY MEMORIAL HOSPITAL DISTRICT-BROWNFIELD REGIONAL MEDICAL CENTER</t>
  </si>
  <si>
    <t>DEAF SMITH COUNTY HOSPITAL DISTRICT-HEREFORD REGIONAL MEDICAL CENTER</t>
  </si>
  <si>
    <t>SWISHER MEMORIAL HEALTHCARE SYSTEM-SWISHER MEMORIAL HOSPITAL</t>
  </si>
  <si>
    <t>GPCH LLC-GOLDEN PLAINS COMMUNITY HOSPITAL</t>
  </si>
  <si>
    <t>METHODIST HOSPITAL LEVELLAND-COVENANT HOSPITAL LEVELLAND</t>
  </si>
  <si>
    <t>METHODIST HOSPITAL PLAINVIEW-COVENANT HOSPITAL PLAINVIEW</t>
  </si>
  <si>
    <t>COVENANT HEALTH SYSTEM-COVENANT MEDICAL CENTER</t>
  </si>
  <si>
    <t>COVENANT REHABILITATION HOSPITAL OF LUBBOCK LLC-TRUSTPOINT REHABILITATION HOSPITAL OF LUBBOCK</t>
  </si>
  <si>
    <t>LUBBOCK HEART HOSPITAL LLC-LUBBOCK HEART HOSPITAL</t>
  </si>
  <si>
    <t>PHYSICIANS SURGICAL HOSPITALS LLC-QUAIL CREEK SURGICAL HOSPITAL</t>
  </si>
  <si>
    <t>PLUM CREEK SPECIALTY HOSPITAL</t>
  </si>
  <si>
    <t>352444901</t>
  </si>
  <si>
    <t>1851785521</t>
  </si>
  <si>
    <t>VIBRA REHABILITATION HOSPITAL OF AMARILLO LLC-VIBRA REHABILITATION HOSPITAL OF AMARILLO</t>
  </si>
  <si>
    <t>NORTHWEST TEXAS HEALTH CARE SYSTEM INC-NORTHWEST TEXAS HOSPITAL</t>
  </si>
  <si>
    <t>BSA HOSPITAL LLC-BAPTIST ST ANTHONYS HEALTH SYSTEM</t>
  </si>
  <si>
    <t>LUBBOCK HERITAGE HOSPITAL LLC-GRACE MEDICAL CENTER</t>
  </si>
  <si>
    <t>VIBRA HOSPITAL OF AMARILLO LLC-VIBRA HOSPITAL OF AMARILLO</t>
  </si>
  <si>
    <t>COVENANT LONG TERM CARE LP-COVENANT SPECIALTY HOSPITAL</t>
  </si>
  <si>
    <t>LUBBOCK REGIONAL MHMR CENTER</t>
  </si>
  <si>
    <t>METHODISTS CHILDRENS HOSPITAL-COVENANT CHILDRENS HOSPITAL</t>
  </si>
  <si>
    <t>BAYSIDE COMMUNITY HOSPITAL-</t>
  </si>
  <si>
    <t>LIBERTY COUNTY HOSPITAL DISTRICT NO 1-LIBERTY DAYTON REGIONAL MEDICAL CENTER</t>
  </si>
  <si>
    <t>OPREX SURGERY BAYTOWN LP-ALTAS BAYTOWN HOSPICE</t>
  </si>
  <si>
    <t>MEMORIAL HOSP OF POLK COUNTY-CHI ST LUKES HEALTH MEMORIAL LIVINGSTON</t>
  </si>
  <si>
    <t>CHRISTUS JASPER MEMORIAL HOSPITAL-</t>
  </si>
  <si>
    <t>EMERGENCY HOSPITAL SYSTEMS LLC-CLEVELAND EMERGENCY HOSPITAL</t>
  </si>
  <si>
    <t>LHCG CXXI, LLC-CHRISTUS DUBUIS HOSPITAL OF BEAUMONT</t>
  </si>
  <si>
    <t>THE MEDICAL CENTER OF SOUTHEAST TEXAS LP-</t>
  </si>
  <si>
    <t>PAM SQUARED AT BEAUMONT, LLC-</t>
  </si>
  <si>
    <t>CHRISTUS HEALTH SOUTHEAST TEXAS-CHRISTUS HOSPITAL</t>
  </si>
  <si>
    <t>MID JEFFERSON EXTENDED CARE HOSPITAL-</t>
  </si>
  <si>
    <t>WALKER COUNTY HOSPITAL CORPORATION-HUNTSVILLE MEMORIAL HOSPITAL</t>
  </si>
  <si>
    <t>BAPTIST HOSPITALS OF SOUTHEAST TEXAS-MEMORIAL HERMANN BAPTIST BEAUMONT HOSPITAL</t>
  </si>
  <si>
    <t>FORT DUNCAN REGIONAL MEDICAL CENTER LP-FORT DUNCAN REGIONAL MEDICAL CENTER</t>
  </si>
  <si>
    <t>HARLINGEN MEDICAL CENTER LP-</t>
  </si>
  <si>
    <t>CHG HOSPITAL MCALLEN LLC-SOLARA SPECIALTY HOSPITALS MCALLEN</t>
  </si>
  <si>
    <t>LAREDO REHABILITATION HOSPITAL LLC-</t>
  </si>
  <si>
    <t>NEW LIFECARE HOSPITALS OF SOUTH TEXAS LLC</t>
  </si>
  <si>
    <t>330847001</t>
  </si>
  <si>
    <t>1679916530</t>
  </si>
  <si>
    <t>COLUMBIA RIO GRANDE HEALTHCARE LP-RIO GRANDE REGIONAL HOSPITAL</t>
  </si>
  <si>
    <t>SOLARA HOSPITAL HARLINGEN-SOLARA SPECIALTY HOSPITALS HARLINGEN BROWNSVILLE</t>
  </si>
  <si>
    <t>WESLACO REGIONAL REHABILITATION HOSPITAL, LLC-</t>
  </si>
  <si>
    <t>LAREDO REGIONAL MEDICAL CENTER LP-DOCTORS HOSPITAL OF LAREDO</t>
  </si>
  <si>
    <t>LAREDO SPECIALTY HOSPITAL</t>
  </si>
  <si>
    <t>MISSION HOSPITAL INC-MISSION REGIONAL MEDICAL CENTER</t>
  </si>
  <si>
    <t>VHS BROWNSVILLE HOSPITAL COMPANY LLC-VALLEY BAPTIST MEDICAL CENTER BROWNSVILLE</t>
  </si>
  <si>
    <t>SOUTH TEXAS REHABILITATION HOSPITAL LP-</t>
  </si>
  <si>
    <t>DAY SURGERY AT RENAISSANCE LLC-DOCTORS HOSPITAL AT RENAISSANCE LTD</t>
  </si>
  <si>
    <t>COLUMBIA VALLEY HEALTHCARE SYSTEMS LP-VALLEY REGIONAL MEDICAL CENTER</t>
  </si>
  <si>
    <t>HEALTH AND HUMAN SERVICES COMMISSION-SOUTH TEXAS HOSPITAL</t>
  </si>
  <si>
    <t>021219301</t>
  </si>
  <si>
    <t>1558434894</t>
  </si>
  <si>
    <t>STRATEGIC BH-BROWNSVILLE, LLC-PALMS BEHAVIORAL HEALTH</t>
  </si>
  <si>
    <t>MATAGORDA COUNTY HOSPITAL DISTRICT-MATAGORDA REGIONAL MEDICAL CENTER</t>
  </si>
  <si>
    <t>BELLVILLE ST JOSEPH HEALTH CENTER-</t>
  </si>
  <si>
    <t>EL CAMPO MEMORIAL HOSPITAL-</t>
  </si>
  <si>
    <t>MEMORIAL HERMANN HOSPITAL SYSTEM-MHHS HERMANN HOSPITAL</t>
  </si>
  <si>
    <t>COMMUNITY HOSPITAL OF BRAZOSPORT-BRAZOSPORT REGIONAL HEALTH SYSTEM</t>
  </si>
  <si>
    <t>CLEAR LAKE REHABILITATION HOSPITAL LLC-KINDRED REHABILIT HOSPITAL CLEAR LAKE</t>
  </si>
  <si>
    <t>CHCA CONROE LP-HCA HOUSTON HEALTHCARE CONROE</t>
  </si>
  <si>
    <t>HOUSTON METHODIST ST JOHN HOSPITAL-HOUSTON METHODIST CLEAR LAKE HOSPITAL</t>
  </si>
  <si>
    <t>KINDRED HOSPITALS LIMITED PARTNERSHIP-KINDRED HOSPTIAL HOUSTON MEDICAL CENTER</t>
  </si>
  <si>
    <t>ST LUKES COMMUNITY HEALTH SERVICES-ST LUKES THE WOODLANDS HOSPITAL</t>
  </si>
  <si>
    <t>MEMORIAL HERMANN HOSPITAL SYSTEM-MHHS KATY HOSPITAL</t>
  </si>
  <si>
    <t>SAN JACINTO METHODIST HOSPITAL-HOUSTON METHODIST SAN JACINTO HOSPITAL</t>
  </si>
  <si>
    <t>DOCTORS HOSPITAL 1997 LP-UNITED MEMORIAL MEDICAL CENTER</t>
  </si>
  <si>
    <t>VISTA COMMUNITY MEDICAL CENTER HOSPITAL LLP-SURGERY SPECIALTY HOSPITAL OF AMERICA SE HOUSTON</t>
  </si>
  <si>
    <t>METHODIST WILLOWBROOK-HOUSTON METHODIST WILLOWBROOK HOSPITAL</t>
  </si>
  <si>
    <t>CLEAR LAKE INSTITUTE FOR REHABILITATION, LLC-PAM REHABILITATION HOSPITAL OF CLEAR LAKE</t>
  </si>
  <si>
    <t>FIRST TEXAS HOSPITAL CY-FAIR, LLC-FIRST TEXAS HOSPITAL</t>
  </si>
  <si>
    <t>KINGWOOD PLAZA HOSPITAL-HCA HOUSTON HEALTHCARE KINGWOOD</t>
  </si>
  <si>
    <t>Tomball Regional Medical Center</t>
  </si>
  <si>
    <t>HOUSTON NORTHWEST OPERATING COMPANY LLC-HOUSTON NORTHWEST MEDICAL CENTER</t>
  </si>
  <si>
    <t>MEMORIAL HERMANN HOSPITAL SYSTEM-MHHS MEMORIAL CITY HOSPITAL</t>
  </si>
  <si>
    <t>MEMORIAL HERMANN HEALTH SYSTEM-MHHS THE WOODLANDS HOSPITAL</t>
  </si>
  <si>
    <t>TRIUMPH SOUTHWEST LP-KINDRED HOSPITAL SUGAR LAND</t>
  </si>
  <si>
    <t>MEMORIAL HERMANN HEALTH SYSTEM-TIRR MEMORIAL HERMANN</t>
  </si>
  <si>
    <t>AD HOSPITAL EAST LLC-</t>
  </si>
  <si>
    <t>ST. LUKE'S COMMUNITY DEVELOPMENT CORPORATION-SUGAR-ST. LUKE'S SUGAR LAND HOSPITAL</t>
  </si>
  <si>
    <t>Memorial Hermann Orthopedic &amp; Spine Hospital</t>
  </si>
  <si>
    <t>1659313146</t>
  </si>
  <si>
    <t>TRIUMPH HOSPITAL OF EAST HOUSTON LP-KINDRED HOSPITAL CLEAR LAKE</t>
  </si>
  <si>
    <t>CHCA PEARLAND, LP-HCA HOUSTON HEALTHCARE PEARLAND</t>
  </si>
  <si>
    <t>Houston Hospital for Specialized Surgery</t>
  </si>
  <si>
    <t>HEALTHSOUTH REHABILITATION HOSPITAL OF SUGAR LAND-HEALTHSOUTH SUGAR LAND REHABILITATION HOSPITAL</t>
  </si>
  <si>
    <t>METHODIST SUGAR LAND HOSPITAL-HOUSTON METHODIST SUGAR LAND HOSPITAL</t>
  </si>
  <si>
    <t>ER AMERICAN HEALTHCARE SERVICES, LLC-</t>
  </si>
  <si>
    <t>TRIUMPH REHABILIATION HOSPITAL OF NORTHEAST HOUSTO-KINDRED REHABILITATION HOSPITAL NORTHEAST HOUSTON</t>
  </si>
  <si>
    <t>ST LUKES PATIENTS MEDICAL CENTER-</t>
  </si>
  <si>
    <t>ATRIUM MEDICAL CENTER LP-</t>
  </si>
  <si>
    <t>HEALTHSOUTH REHABILITATION HOSPITAL OF VINTAGE PAR-HEALTHSOUTH REHABILITATION HOSPITAL THE VINTAGE</t>
  </si>
  <si>
    <t>HOUSTON METHODIST ST CATHERINE HOSPITAL-HOUSTON METHODIST CONTINUING CARE HOSPITAL</t>
  </si>
  <si>
    <t>MEMORIAL HERMANN HOSPITAL SYSTEM-MHHS NORTHEAST HOSPITAL</t>
  </si>
  <si>
    <t>MEMORIAL HERMANN HOSPITAL SYSTEM-MHHS SUGAR LAND HOSPITAL</t>
  </si>
  <si>
    <t>WEBSTER SURGICAL SPECIALTY HOSPITAL, LTD-HOUSTON PHYSICIANS HOSPITAL</t>
  </si>
  <si>
    <t>TRIUMPH HOSPITAL OF NORTH HOUSTON LP-KINDRED HOSPITAL TOMBALL</t>
  </si>
  <si>
    <t>HEALTHSOUTH REHABILITATION HOSPITAL OF CYPRESS LLC-</t>
  </si>
  <si>
    <t>CHCA WEST HOUSTON LP-HCA HOUSTON HEALTHCARE WEST</t>
  </si>
  <si>
    <t>Cornerstone Hospital Medical Center</t>
  </si>
  <si>
    <t>1235416801</t>
  </si>
  <si>
    <t>HEALTHSOUTH REHABILITATION HOSPITAL THE WOODLANDS-ENCOMPASS HEALTH REHABILITATION HOSPITAL OF THE W</t>
  </si>
  <si>
    <t>ST LUKES LAKESIDE HOSPITAL LLC-ST LUKES LAKESIDE HOSPITAL</t>
  </si>
  <si>
    <t>St Lukes Episcopal Hospital</t>
  </si>
  <si>
    <t>1184662847</t>
  </si>
  <si>
    <t>METHODIST HEALTH CENTERS-HOUSTON METHODIST THE WOODLANDS HOSPITAL</t>
  </si>
  <si>
    <t>PINE VALLEY SPECIALTY HOSPITAL OPERATOR, LLC-PINE VALLEY SPECIALTY HOSPITAL</t>
  </si>
  <si>
    <t>361849801</t>
  </si>
  <si>
    <t>1184089054</t>
  </si>
  <si>
    <t>CHCA BAYSHORE LP-HCA HOUSTON HEALTHCARE SOUTHEAST</t>
  </si>
  <si>
    <t>MH EMERUS FIRST COLONY, LLC-MEMORIAL HERMANN FIRST COLONY HOSPITAL</t>
  </si>
  <si>
    <t>1164665899</t>
  </si>
  <si>
    <t>St. Joseph Medical Center</t>
  </si>
  <si>
    <t>MH EMERUS TOMBALL, LLC-MEMORIAL HERMANN TOMBALL</t>
  </si>
  <si>
    <t>340639901</t>
  </si>
  <si>
    <t>1144651514</t>
  </si>
  <si>
    <t>TOPS SPECIALTY HOSPITAL, LTD-</t>
  </si>
  <si>
    <t>ORTHOPEDIC HOSPITAL LTD-TEXAS ORTHOPEDIC HOSPITAL</t>
  </si>
  <si>
    <t>ALL VALLEY SPEECH THERAPY PLLC-</t>
  </si>
  <si>
    <t>METHODIST HEALTH CENTERS-HOUSTON METHODIST WEST HOSPITAL</t>
  </si>
  <si>
    <t>Cornerstone Hospital of Houston - Bellaire</t>
  </si>
  <si>
    <t>1083668685</t>
  </si>
  <si>
    <t>CHG HOSPITAL CONROE LLC-CORNERSTONE SPECIALTY HOSPITALS CONROE</t>
  </si>
  <si>
    <t>HOUSTON PPH LLC-HCA HOUSTON HEALTHCARE MEDICAL CENTER</t>
  </si>
  <si>
    <t>CHCA CLEAR LAKE LP-HCA HOUSTON HEALTHCARE CLEAR LAKE</t>
  </si>
  <si>
    <t>MEMORIAL HERMANN REHABILITATION HOSPITAL KATY-</t>
  </si>
  <si>
    <t>THC HOUSTON LLC-KINDRED HOSPITAL HOUSTON NORTHWEST</t>
  </si>
  <si>
    <t>MEMORIAL HERMANN SUGAR LAND SURGICAL HOSPITAL LLP-SUGAR LAND SURGICAL HOSPITAL</t>
  </si>
  <si>
    <t>NEXUS SPECIALTY HOSPITAL - THE WOODLANDS LTD-NEXUS SPECIALTY HOSPITAL</t>
  </si>
  <si>
    <t>CHCA WOMANS HOSPITAL LP-THE WOMANS HOSPITAL OF TEXAS</t>
  </si>
  <si>
    <t>OAK BEND MEDICAL CENTER-OAKBEND MEDICAL CENTER</t>
  </si>
  <si>
    <t>C &amp; I HOLDINGS LLC-LONE STAR BEHAVORIAL HEALTH</t>
  </si>
  <si>
    <t>OCEANS BEHAVIORAL HOSPITAL OF KATY LLC-</t>
  </si>
  <si>
    <t>SHC KPH LP-KINGWOOD PINES HOSPITAL</t>
  </si>
  <si>
    <t>OCEANS BEHAVIORAL HOSPITAL OF PASADENA LLC-OCEANS BEHAVIORAL HOSPITAL OF PASADENA</t>
  </si>
  <si>
    <t>POST OAKS CARE CENTER</t>
  </si>
  <si>
    <t>WOODLAND SPINGS LLC-WOODLAND SPRINGS</t>
  </si>
  <si>
    <t>CYPRESS CREEK HOSPITAL INC</t>
  </si>
  <si>
    <t>HOUSTON BEHAVIORAL HEALTHCARE HOSPITAL, LLC-</t>
  </si>
  <si>
    <t>SACRED OAK MEDICAL CENTER, LLC-</t>
  </si>
  <si>
    <t>DAY STARS INC-</t>
  </si>
  <si>
    <t>APOLLO REHAB HOSPITAL LLC-SUGAR LAND REHAB HOSPITAL LLC</t>
  </si>
  <si>
    <t>WEST OAK HOSPITAL INC-TEXAS WEST OAKS HOSPITAL</t>
  </si>
  <si>
    <t>DEVEREUX FOUNDATION-DEVEREUX-TEXAS TREATMENT</t>
  </si>
  <si>
    <t>WESTPARK SPRINGS LLC-</t>
  </si>
  <si>
    <t>BEHAVIORAL HEALTH MANAGEMENT, LLC-</t>
  </si>
  <si>
    <t>INTRACARE HOSPITAL NORTH-INTRACARE NORTH HOSPITAL</t>
  </si>
  <si>
    <t>SUN HOUSTON, LLC-</t>
  </si>
  <si>
    <t>SHRINERS HOSPITALS FOR CHILDREN-</t>
  </si>
  <si>
    <t>HEALTHBRIDGE CHILDRENS HOSPITAL- HOUSTON LTD-HEALTHBRIDGE CHILDRENS HOSPITAL</t>
  </si>
  <si>
    <t>EL PASO COUNTY HOSPITAL DISTRICT-UNIVERSITY MEDICAL CENTER OF EL PASO</t>
  </si>
  <si>
    <t>TENET HOSPITALS LIMITED-THE HOSPITALS OF PROVIDENCE EAST CAMPUS</t>
  </si>
  <si>
    <t>EL PASO HEALTHCARE SYSTEM LTD-LAS PALMAS MEDICAL CENTER</t>
  </si>
  <si>
    <t>VIBRA REHABILITATION HOSPITAL OF EL PASO, LLC-HIGHLANDS REHABILITATION HOSPITAL</t>
  </si>
  <si>
    <t>TENET HOSPITALS LIMITED-THE HOSPITALS OF PROVIDENCE MEMORIAL CAMPUS</t>
  </si>
  <si>
    <t>EAST EL PASO PHYSICIANS MEDICAL CENTER LLC-FOUNDATION SURGICAL HOSPITAL OF EL PASO</t>
  </si>
  <si>
    <t>TENET HOSPITALS LIMITED-THE HOSPITALS OF PROVIDENCE TRANSMOUNTAIN CAMPUS</t>
  </si>
  <si>
    <t>EL PASO SPECIALTY HOSPITAL LTD-SURGICAL INSTITUTE OF EL PASO</t>
  </si>
  <si>
    <t>SIERRA MEDICAL CENTER-THE HOSPITAL OF PROVIDENCE SIERRA CAMPUS</t>
  </si>
  <si>
    <t>IHS HOSPITAL AT EL PASO</t>
  </si>
  <si>
    <t>1215937966</t>
  </si>
  <si>
    <t>EL PASO LTAC HOSPITAL</t>
  </si>
  <si>
    <t>190248801</t>
  </si>
  <si>
    <t>1194890103</t>
  </si>
  <si>
    <t>SCCI HOSPITAL EL PASO LLC-KINDRED HOSPITAL EL PASO</t>
  </si>
  <si>
    <t>HCN EP HORIZON CITY LLC-THE HOSPITALS OF PROVIDENCE HORIZON CITY CAMPUS</t>
  </si>
  <si>
    <t>ALTERNATIVES CENTRE FOR BEHA</t>
  </si>
  <si>
    <t>UNIVERSITY BEHAVIORAL HEALTH OF EL PASO LLC</t>
  </si>
  <si>
    <t>EL PASO BEHAVIORAL HOSPITAL LLC-RIO VISTA BEHAVIORAL HEALTH</t>
  </si>
  <si>
    <t>Emergence Health Network</t>
  </si>
  <si>
    <t>1033240353</t>
  </si>
  <si>
    <t>EL PASO CHILDRENS HOSPITAL-</t>
  </si>
  <si>
    <t>UTSOUTHWESTERN UNIVERSITY HOSPITAL ZALE LIPSHY</t>
  </si>
  <si>
    <t>BAYLOR MEDICAL CENTER AT IRVING-</t>
  </si>
  <si>
    <t>HEALTHSOUTH REHABILITATION HOSPITAL OF DALLAS LLC-HEALTHSOUTH REHABILITATION HOSPITAL OF DALLAS</t>
  </si>
  <si>
    <t>TEXAS HEART HOSPITAL OF THE SOUTHWEST LLP-BAYLOR SCOTT &amp; WHITE THE HEART HOSPITAL PLANO</t>
  </si>
  <si>
    <t>EBD BEMC ROCKWALL, LLC-BAYLOR EMERGENCY MEDICAL CENTER</t>
  </si>
  <si>
    <t>METHODIST MCKINNEY HOSPITAL LLC-</t>
  </si>
  <si>
    <t>REHABILITATION HOSPITAL OF MESQUITE LLC-MESQUITE REHABILITATION INSTITUTE</t>
  </si>
  <si>
    <t>FRISCO MEDICAL CENTER-BAYLOR SCOTT &amp; WHITE MEDICAL CENTER - FRISCO</t>
  </si>
  <si>
    <t>COLUMBIA MEDICAL CENTER OF LAS COLINAS, INC-LAS COLINAS MEDICAL CENTER</t>
  </si>
  <si>
    <t>PROMISE HOSPITAL OF DALLAS INC</t>
  </si>
  <si>
    <t>340716501</t>
  </si>
  <si>
    <t>1902237431</t>
  </si>
  <si>
    <t>DALLAS MEDICAL CENTER LLC-</t>
  </si>
  <si>
    <t>LANCASTER REGIONAL HOSPITAL LP-CRESCENT MEDICAL CENTER LANCASTER</t>
  </si>
  <si>
    <t>MESQUITE SPECIALTY HOSPITAL LP</t>
  </si>
  <si>
    <t>KINDRED HOSPITALS LIMITED PARTNERSHIP-KINDRED HOSPITAL-WHITE ROCK</t>
  </si>
  <si>
    <t>BAYLOR SCOTT &amp; WHITE MEDICAL CENTER - CENTENNIAL-</t>
  </si>
  <si>
    <t>PRIME HEALTHCARE SERVICES MESQUITE LLC-DALLAS REGIONAL MEDICAL CENTER</t>
  </si>
  <si>
    <t>TEXAS HEALTH PRESBYTERIAN HOSPTAL PLANO-</t>
  </si>
  <si>
    <t>PRHC ENNIS LP-ENNIS REGIONAL MEDICAL CENTER</t>
  </si>
  <si>
    <t>KINDRED HOSPITALS LIMITED PARTNERSHIP-KINDRED HOSPITAL- DALLAS</t>
  </si>
  <si>
    <t>COLUMBIA MEDICAL CENTER OF PLANO LP-MEDICAL CENTER OF PLANO</t>
  </si>
  <si>
    <t>COLUMBIA HOSPITAL MEDICAL CITY DALLAS, SUBSIDIARY-COLUMBIA HOSPITAL AT MEDICAL C</t>
  </si>
  <si>
    <t>Plano Specialty Hospital</t>
  </si>
  <si>
    <t>353871201</t>
  </si>
  <si>
    <t>1689068355</t>
  </si>
  <si>
    <t>KPC PROMISE HOSPITAL OF DALLAS, LLC-KPC PROMISE HOSPITAL OF DALLAS</t>
  </si>
  <si>
    <t>IRVING COPPELL SURGICAL HOSPITAL LLP-IRVING-COPPELL SURGICAL HOSPITAL LLP</t>
  </si>
  <si>
    <t>BAYLOR REGIONAL MEDICAL CENTER AT PLANO-</t>
  </si>
  <si>
    <t>ROCKWALL REGIONAL HOSPITAL LLC-TEXAS HEALTH PRESBYTERIAN HOSPITAL ROCKWALL</t>
  </si>
  <si>
    <t>TEXAS HEALTH PRESBYTERIAN HOSPITAL ALLEN-</t>
  </si>
  <si>
    <t>BIR JV LLP-BAYLOR INSTITUTE FOR REHABILITATION</t>
  </si>
  <si>
    <t>METHODIST HOSPITALS OF DALLAS-METHODIST DALLAS MEDICAL CENTER</t>
  </si>
  <si>
    <t>Methodist Rehabilitation Hospital</t>
  </si>
  <si>
    <t>1487848941</t>
  </si>
  <si>
    <t>TEXAS HEALTH PRESBYTERIAN HOSPITAL KAUFMAN-</t>
  </si>
  <si>
    <t>COLUMBIA MEDICAL CENTER OF MCKINNEY SUBSIDIARY LP-MEDICAL CENTER OF MCKINNEY</t>
  </si>
  <si>
    <t>CR EMERGENCY ROOM LLC-BAYLOR SCOTT AND WHITE EMERGENCY HOSPITAL</t>
  </si>
  <si>
    <t>TEXAS HEALTH PRESBYTERIAN HOSPITAL DALLAS-TEXAS PRESBYTERIAN HOSPITAL OF DALLAS</t>
  </si>
  <si>
    <t>MSH PARTNERS LLC-BAYLOR MEDICAL CENTER AT UPTOWN</t>
  </si>
  <si>
    <t>HEALTH SOUTH REHABILITATION HOSPITAL OF HUMBLE-</t>
  </si>
  <si>
    <t>DALLAS LTACH LLC-KINDRED HOSPITAL DALLAS CENTRAL</t>
  </si>
  <si>
    <t>BAYLOR INSTITUTE FOR REHABILITATION AT FRISCO-</t>
  </si>
  <si>
    <t>METHODIST HOSPITAL OF DALLAS-METHODIST CHARLTON MEDICAL CENTER</t>
  </si>
  <si>
    <t>TEXAS REGIONAL MEDICAL CENTER LTD-TEXAS REGIONAL MEDICAL CENTER AT SUNNYVALE</t>
  </si>
  <si>
    <t>LAKE POINTE MEDICAL CENTER-BAYLOR SCOTT &amp; WHITE MEDICAL CENTER LAKE POINTE</t>
  </si>
  <si>
    <t>SELECT SPECIALITY HOSPITAL-DALLAS, INC-</t>
  </si>
  <si>
    <t>HEALTHSOUTH PLANO REHABILITATION HOSPITAL LLC-HEALTHSOUTH PLANO REHABILITATION HOSPITAL</t>
  </si>
  <si>
    <t>BAYLOR MEDICAL CENTERS AT GARLAND AND MCKINNEY-BAYLOR SCOTT AND WHITE MEDICAL CENTER - MCKINNEY</t>
  </si>
  <si>
    <t>PIPELINE EAST DALLAS LLC-CITY HOSPITAL AT WHITE ROCK</t>
  </si>
  <si>
    <t>SELECT SPECIALTY HOSPITAL DALLAS INC-DALLAS SPECIALTY HOSPITAL DALLAS INC</t>
  </si>
  <si>
    <t>VIBRA SPECIALTY HOSPITAL OF DALLAS LLC-VIBRA HOSPITAL OF RICHARDSON</t>
  </si>
  <si>
    <t>POST ACUTE MEDICAL AT ALLEN LLC-PAM REHABILITATION HOSPITAL OF ALLEN</t>
  </si>
  <si>
    <t>METHODIST HOSPITALS OF DALLAS-METHODIST RICHARDSON MEDICAL CENTER</t>
  </si>
  <si>
    <t>1023338142</t>
  </si>
  <si>
    <t>HUNT MEMORIAL HOSPITAL DISTRICT-HUNT REGIONAL MEDICAL CENTER</t>
  </si>
  <si>
    <t>GLEN OAKS HOSPITAL INC-GLEN OAKS HOSPITAL</t>
  </si>
  <si>
    <t>GREEN OAKS HOSPITAL SUBSIDIA</t>
  </si>
  <si>
    <t>INNOVATIONS COMMUNITY MENTAL HEALTH CENTER-</t>
  </si>
  <si>
    <t>GARLAND BEHAVIORAL HOSPITAL</t>
  </si>
  <si>
    <t>DALLAS BEHAVIORAL HEALTHCARE HOSPITAL LLC-</t>
  </si>
  <si>
    <t>SRP BEHAVIORAL HOSPITAL OF PLANO LLC-WELLBRIDGE HEALTHCARE OF PLANO</t>
  </si>
  <si>
    <t>HICKORY TRAIL HOSPITAL LP</t>
  </si>
  <si>
    <t>TEXAS SCOTTISH RITE HOSPITAL FOR CRIPPLED CHILDREN-</t>
  </si>
  <si>
    <t>CHILDRENS MEDICAL CENTER OF DALLAS-CHILDREN'S MEDICAL CENTER PLANO</t>
  </si>
  <si>
    <t>OCH HOLDINGS-OUR CHILDRENS HOUSE</t>
  </si>
  <si>
    <t>CHILDRENS MEDICAL CENTER OF DALLAS-CHILDRENS MEDICAL CENTER</t>
  </si>
  <si>
    <t>BEXAR COUNTY HOSPITAL DISTRICT-UNIVERSITY HEALTH SYSTEM</t>
  </si>
  <si>
    <t>WILSON COUNTY MEMORIAL HOSPITAL DISTRICT-CONNALLY MEMORIAL MEDICAL CENTER</t>
  </si>
  <si>
    <t>METHODIST HEALTHCARE SYSTEM OF SAN ANTONIO LTD LLP-METHODIST HOSPITAL SOUTH</t>
  </si>
  <si>
    <t>NEW SAN ANTONIO SPECIALTY HOSPITAL LLC-LIFE CARE HOSPITALS OF SAN ANTONIO</t>
  </si>
  <si>
    <t>329623801</t>
  </si>
  <si>
    <t>1942643804</t>
  </si>
  <si>
    <t>SOUTHWEST GENERAL HOSPITAL LP-SOUTHWEST GENERAL HOSPITAL</t>
  </si>
  <si>
    <t>METHODIST HEALTHCARE SYSTEM OF SAN ANTONIO LTD LLP-METHODIST AMBULATORY SURGERY</t>
  </si>
  <si>
    <t>NEW BRAUNFELS REG REHAB HOSP INC-</t>
  </si>
  <si>
    <t>POST ACUTE MEDICAL OF NEW BRAUNFELS LLC-WARM SPRINGS SPECIALTY HOSPITAL OF NEW BRAUNFELS</t>
  </si>
  <si>
    <t>EMERUS BHS SA THOUSAND OAKS LLC-BAPTIST EMERGENCY HOSPITAL SHAVANO PARK</t>
  </si>
  <si>
    <t>METHODIST HEALTHCARE SYSTEM OF SAN ANTONIO LTD LLP-METHODIST STONE OAK HOSPITAL</t>
  </si>
  <si>
    <t>WARM SPRINGS SPECIALTY HOSPITAL OF SAN ANTONIO LLC-PAM SPECIALTY HOSPITAL OF SAN ANTONIO</t>
  </si>
  <si>
    <t>ENLIGHTENED BEHAVIORAL HEALTH SYSTEMS LLC-</t>
  </si>
  <si>
    <t>VHS SAN ANTONIO PARTNERS LLC-BAPTIST MEDICAL CENTER</t>
  </si>
  <si>
    <t>CUMBERLAND SURGICAL HOSPITAL OF SAN ANTONIO LLC-</t>
  </si>
  <si>
    <t>GLOBALREHAB SAN ANTONIO LP-SELECT REHABILITATION HOSPITAL OF SAN ANTONIO</t>
  </si>
  <si>
    <t>KND DEVELOPMENT 68, LLC-KINDRED HOSPITAL - SAN ANTONIO CENTRAL</t>
  </si>
  <si>
    <t>KINDRED HOSPITALS LIMITED PARTNERSHIP-KINDRED HOSPITALS SAN ANTONIO</t>
  </si>
  <si>
    <t>RESOLUTE HOSPITAL COMPANY LLC-</t>
  </si>
  <si>
    <t>ORTHOPEDIC AND SPINE SURGICAL HOSPITAL OF S TX LP-SOUTH TEXAS SPINE AND SURGICAL HOSPITAL LP</t>
  </si>
  <si>
    <t>ACUITY HOSPITAL OF SOUTH TEXAS LLC</t>
  </si>
  <si>
    <t>203965301</t>
  </si>
  <si>
    <t>1235392192</t>
  </si>
  <si>
    <t>CHRISTUS SANTA ROSA HEALTH CARE CORPORATION-CHRISTUS SANTA ROSA HOSPITAL</t>
  </si>
  <si>
    <t>GUADALUPE COUNTY HOSPITAL BOARD-GUADALUPE REGIONAL MEDICAL CENTER</t>
  </si>
  <si>
    <t>SAN ANTONIO BEHAVIORAL HEALTHCARE HOSPITAL, LLC-</t>
  </si>
  <si>
    <t>TEXAS LAUREL RIDGE HOSPITAL LP-LAUREL RIDGE TREATMENT CENTER</t>
  </si>
  <si>
    <t>CHRISTUS SANTA ROSA HEALTH CARE CORPORATION-CHRISTUS SANTA ROSA CHILDRENS</t>
  </si>
  <si>
    <t>Total OP</t>
  </si>
  <si>
    <t>Non-OP</t>
  </si>
  <si>
    <t>OP</t>
  </si>
  <si>
    <t>Provider Name</t>
  </si>
  <si>
    <t>Hospital Class</t>
  </si>
  <si>
    <t>Urban</t>
  </si>
  <si>
    <t>673046</t>
  </si>
  <si>
    <t>BAYLOR INSTITUTE FOR REHABILITATION AT FRISCO</t>
  </si>
  <si>
    <t>409204101</t>
  </si>
  <si>
    <t>1902366305</t>
  </si>
  <si>
    <t>670136</t>
  </si>
  <si>
    <t>407926101</t>
  </si>
  <si>
    <t>1144781501</t>
  </si>
  <si>
    <t>670131</t>
  </si>
  <si>
    <t>670128</t>
  </si>
  <si>
    <t>673058</t>
  </si>
  <si>
    <t>673061</t>
  </si>
  <si>
    <t>452111</t>
  </si>
  <si>
    <t>408600101</t>
  </si>
  <si>
    <t>673063</t>
  </si>
  <si>
    <t>452108</t>
  </si>
  <si>
    <t>673035</t>
  </si>
  <si>
    <t>HEALTHSOUTH REHABILITATION HOSPITAL OF RICHARDSON-ENCOMPASS HEALTH REHABILITATION HOSPITAL OF RICHAR</t>
  </si>
  <si>
    <t>1245878990</t>
  </si>
  <si>
    <t>673059</t>
  </si>
  <si>
    <t>452042</t>
  </si>
  <si>
    <t>673049</t>
  </si>
  <si>
    <t>452057</t>
  </si>
  <si>
    <t>377705402</t>
  </si>
  <si>
    <t>409331201</t>
  </si>
  <si>
    <t>1780231563</t>
  </si>
  <si>
    <t>452059</t>
  </si>
  <si>
    <t>452086</t>
  </si>
  <si>
    <t>673025</t>
  </si>
  <si>
    <t>452106</t>
  </si>
  <si>
    <t>673067</t>
  </si>
  <si>
    <t>452056</t>
  </si>
  <si>
    <t>453072</t>
  </si>
  <si>
    <t>412883701</t>
  </si>
  <si>
    <t>1184262800</t>
  </si>
  <si>
    <t>452105</t>
  </si>
  <si>
    <t>452051</t>
  </si>
  <si>
    <t>409332001</t>
  </si>
  <si>
    <t>133257904</t>
  </si>
  <si>
    <t>1841354677</t>
  </si>
  <si>
    <t>1477507432</t>
  </si>
  <si>
    <t>670008</t>
  </si>
  <si>
    <t>453091</t>
  </si>
  <si>
    <t>451390</t>
  </si>
  <si>
    <t>121053605</t>
  </si>
  <si>
    <t>451394</t>
  </si>
  <si>
    <t>451395</t>
  </si>
  <si>
    <t>405102101</t>
  </si>
  <si>
    <t>STEWARD TEXAS HOSPITAL HOLDINGS LLC-SCENIC MOUNTAIN MEDICAL CENTER, A STEWARD FAMILY H</t>
  </si>
  <si>
    <t>451387</t>
  </si>
  <si>
    <t>Rural</t>
  </si>
  <si>
    <t>GEORGETOWN BEHAVIORAL HEALTH INSTITUTE, LLC</t>
  </si>
  <si>
    <t>GLEN OAKS HOSPITAL</t>
  </si>
  <si>
    <t>HAVEN BEHAVIORAL HOSPITAL OF FRISCO</t>
  </si>
  <si>
    <t>HOUSTON BEHAVIORAL HEALTHCARE HOSPITAL, LLC</t>
  </si>
  <si>
    <t>INTRACARE NORTH HOSPITAL</t>
  </si>
  <si>
    <t>MESA SPRINGS, LLC</t>
  </si>
  <si>
    <t>ROCK SPRINGS, LLC</t>
  </si>
  <si>
    <t>SAN ANTONIO BEHAVIORAL HEALTHCARE HOSPITAL, LLC</t>
  </si>
  <si>
    <t>SUN HOUSTON, LLC</t>
  </si>
  <si>
    <t>1578547667</t>
  </si>
  <si>
    <t>021194801</t>
  </si>
  <si>
    <t>1326052226</t>
  </si>
  <si>
    <t>137918204</t>
  </si>
  <si>
    <t>1881600682</t>
  </si>
  <si>
    <t>021195501</t>
  </si>
  <si>
    <t>1477669208</t>
  </si>
  <si>
    <t>021196301</t>
  </si>
  <si>
    <t>1245344472</t>
  </si>
  <si>
    <t>1821161167</t>
  </si>
  <si>
    <t>133331202</t>
  </si>
  <si>
    <t>1942218581</t>
  </si>
  <si>
    <t>138706004</t>
  </si>
  <si>
    <t>1972511921</t>
  </si>
  <si>
    <t>112751605</t>
  </si>
  <si>
    <t>1720094550</t>
  </si>
  <si>
    <t>137919003</t>
  </si>
  <si>
    <t>1992713119</t>
  </si>
  <si>
    <t>109966502</t>
  </si>
  <si>
    <t>1366450538</t>
  </si>
  <si>
    <t>127320302</t>
  </si>
  <si>
    <t>1407862170</t>
  </si>
  <si>
    <t>NA</t>
  </si>
  <si>
    <t>021187203</t>
  </si>
  <si>
    <t>Number of Hospitals</t>
  </si>
  <si>
    <t>395673201</t>
  </si>
  <si>
    <t>NOCONA GENERAL HOSPITAL</t>
  </si>
  <si>
    <t>SRP OCEANS HOSPITAL OF FORTWORTH LLC</t>
  </si>
  <si>
    <t>1326015595</t>
  </si>
  <si>
    <t>112742503</t>
  </si>
  <si>
    <t>State-Specific Provider ID</t>
  </si>
  <si>
    <t>454117</t>
  </si>
  <si>
    <t>454133</t>
  </si>
  <si>
    <t>454110</t>
  </si>
  <si>
    <t>454107</t>
  </si>
  <si>
    <t>454118</t>
  </si>
  <si>
    <t>454108</t>
  </si>
  <si>
    <t>454126</t>
  </si>
  <si>
    <t>454146</t>
  </si>
  <si>
    <t>454138</t>
  </si>
  <si>
    <t>454129</t>
  </si>
  <si>
    <t>454094</t>
  </si>
  <si>
    <t>454134</t>
  </si>
  <si>
    <t>4533C0</t>
  </si>
  <si>
    <t>4533C4</t>
  </si>
  <si>
    <t>4533C5</t>
  </si>
  <si>
    <t>4533C2</t>
  </si>
  <si>
    <t>454100</t>
  </si>
  <si>
    <t>4533C3</t>
  </si>
  <si>
    <t>454114</t>
  </si>
  <si>
    <t>454069</t>
  </si>
  <si>
    <t>454135</t>
  </si>
  <si>
    <t>4533H7</t>
  </si>
  <si>
    <t>454093</t>
  </si>
  <si>
    <t>454124</t>
  </si>
  <si>
    <t>454122</t>
  </si>
  <si>
    <t>454136</t>
  </si>
  <si>
    <t>454123</t>
  </si>
  <si>
    <t>454018</t>
  </si>
  <si>
    <t>454064</t>
  </si>
  <si>
    <t>454127</t>
  </si>
  <si>
    <t>454132</t>
  </si>
  <si>
    <t>454128</t>
  </si>
  <si>
    <t>454141</t>
  </si>
  <si>
    <t>454139</t>
  </si>
  <si>
    <t>454060</t>
  </si>
  <si>
    <t>454121</t>
  </si>
  <si>
    <t>454104</t>
  </si>
  <si>
    <t>454109</t>
  </si>
  <si>
    <t>454076</t>
  </si>
  <si>
    <t>454026</t>
  </si>
  <si>
    <t>454131</t>
  </si>
  <si>
    <t>454144</t>
  </si>
  <si>
    <t>Medicare Certification Number</t>
  </si>
  <si>
    <t>1548406788</t>
  </si>
  <si>
    <t>452112</t>
  </si>
  <si>
    <t>212167501</t>
  </si>
  <si>
    <t>IRAAN GENERAL HOSPITAL DISTRICT</t>
  </si>
  <si>
    <t>OLNEY HAMILTON HOSPITAL DISTRICT</t>
  </si>
  <si>
    <t>STONEWALL MEMORIAL HOSPITAL</t>
  </si>
  <si>
    <t>IP ACR Gap</t>
  </si>
  <si>
    <t>Medicaid Charges</t>
  </si>
  <si>
    <t>412747401</t>
  </si>
  <si>
    <t>OP ACR Gap</t>
  </si>
  <si>
    <t>Memorial Medical Center</t>
  </si>
  <si>
    <t>Columbus Community Hospital</t>
  </si>
  <si>
    <t>Harris County Hospital District</t>
  </si>
  <si>
    <t>Shannon Medical Center</t>
  </si>
  <si>
    <t>Baylor All Saints Medical Center</t>
  </si>
  <si>
    <t>Lynn County Hospital District</t>
  </si>
  <si>
    <t>Baylor University Medical Center</t>
  </si>
  <si>
    <t>Hendrick Medical Center</t>
  </si>
  <si>
    <t>Knapp Medical Center</t>
  </si>
  <si>
    <t>Woodland Heights Medical Center</t>
  </si>
  <si>
    <t>Driscoll Children's Hospital</t>
  </si>
  <si>
    <t>Corpus Christi Medical Center</t>
  </si>
  <si>
    <t>Electra Memorial Hospital</t>
  </si>
  <si>
    <t>2021 Master TPI</t>
  </si>
  <si>
    <t>OCHSNER MEDICAL CENTER - BATON ROUGE, LLC</t>
  </si>
  <si>
    <t>UNIVERSITY OF TEXAS HEALTH SCIENCE CENTER AT HOUSTON DBA THE UNIVERSITY OF TX HARRIS</t>
  </si>
  <si>
    <t>HHSC (AUSTIN STATE HOSPITAL)</t>
  </si>
  <si>
    <t>HHSC (NORTH TEXAS STATE HOSPITAL WICHITA FALLS)</t>
  </si>
  <si>
    <t>HHSC (NORTH TEXAS STATE HOSPITAL VERNON)</t>
  </si>
  <si>
    <t>TEXAS CYPRESS CREEK HOSPITAL</t>
  </si>
  <si>
    <t>CEDAR CREST HOSPITAL</t>
  </si>
  <si>
    <t>HHSC (RIO GRANDE STATE CENTER)</t>
  </si>
  <si>
    <t>GREEN OAKS</t>
  </si>
  <si>
    <t>LAUREL RIDGE A BROWN SCHOOLS</t>
  </si>
  <si>
    <t>CLARITY CHILD GUIDANCE CENTER</t>
  </si>
  <si>
    <t>RIVER CREST HOSPITAL INC</t>
  </si>
  <si>
    <t>HHSC (EL PASO PSYCHIATRIC CENTER)</t>
  </si>
  <si>
    <t>WEST OAK HOSPITAL INC.</t>
  </si>
  <si>
    <t>HHSC (TERRELL STATE HOSPITAL)</t>
  </si>
  <si>
    <t>HHSC (SAN ANTONIO STATE HOSPITAL)</t>
  </si>
  <si>
    <t>KINGWOOD PINES HOSPITAL, INC</t>
  </si>
  <si>
    <t>UNIVERSITY BEHAVIORAL HEALTH OF DENTON</t>
  </si>
  <si>
    <t>AUSTIN LAKES HOSPITAL @ ST. DAVID'S</t>
  </si>
  <si>
    <t>HAVEN RED RIVER HOSPITAL LLC</t>
  </si>
  <si>
    <t>BEHAVIORAL HOSPITAL OF BELLAIRE</t>
  </si>
  <si>
    <t>C &amp; I HOLDINGS LLC</t>
  </si>
  <si>
    <t>TEXAS OAKS PSYCHIATRIC HOSPITAL LP</t>
  </si>
  <si>
    <t>CROSS CREEK HOSPITAL</t>
  </si>
  <si>
    <t>WESTPARK SPRINGS LLC</t>
  </si>
  <si>
    <t>DALLAS BEHAVIORAL HEALTHCARE HOSPITAL LLC</t>
  </si>
  <si>
    <t>OCEANS BEHAVORIAL HOSPITAL OF LUFKIN LLC</t>
  </si>
  <si>
    <t>OCEANS BEHAVIORAL HOSPITAL OF ABILENE LLC</t>
  </si>
  <si>
    <t>BEHAVIORAL HEALTH CENTER OF THE PERMIAN BASIN LLC</t>
  </si>
  <si>
    <t>AUDUBON BEHAVIORAL HEALTHCARE OF LONGVIEW LLC</t>
  </si>
  <si>
    <t>OCEANS BEHAVIORAL HOSPITAL OF KATY LLC</t>
  </si>
  <si>
    <t>SRP OCEANS HOSPITAL OF PLANO, LLC</t>
  </si>
  <si>
    <t>PALMS BEHAVIORAL HEALTH</t>
  </si>
  <si>
    <t>OCEANS BEHAVIORAL HOSPITAL OF SAN MARCOS</t>
  </si>
  <si>
    <t>Combined Rates Class &amp; SDA</t>
  </si>
  <si>
    <t>Grand Total</t>
  </si>
  <si>
    <t>Total UPL Gap</t>
  </si>
  <si>
    <t>Inpatient Rate Class</t>
  </si>
  <si>
    <t>Sum of Hdr MCO Pd Amt</t>
  </si>
  <si>
    <t>Non-State-Owned IMD</t>
  </si>
  <si>
    <t>State-Owned Non-IMD</t>
  </si>
  <si>
    <t>State-Owned IMD</t>
  </si>
  <si>
    <t>STAR</t>
  </si>
  <si>
    <t>STAR+PLUS</t>
  </si>
  <si>
    <t>Total</t>
  </si>
  <si>
    <t>Check: Scenario Tab</t>
  </si>
  <si>
    <t>Differences</t>
  </si>
  <si>
    <t>Program</t>
  </si>
  <si>
    <t xml:space="preserve">STAR      </t>
  </si>
  <si>
    <t xml:space="preserve">STAR+PLUS </t>
  </si>
  <si>
    <t xml:space="preserve">STAR </t>
  </si>
  <si>
    <t>Totals:</t>
  </si>
  <si>
    <t>Class</t>
  </si>
  <si>
    <t>Full ACR Gap</t>
  </si>
  <si>
    <t>Acronyms:</t>
  </si>
  <si>
    <t>TPI - Texas Provider Identifier</t>
  </si>
  <si>
    <t>NPI - National Provider Identifier</t>
  </si>
  <si>
    <t>UPL - Upper Payment Limit</t>
  </si>
  <si>
    <t>ACR - Average Commercial Reimbursement</t>
  </si>
  <si>
    <t>ACIA - Average Commercial Incentive Award</t>
  </si>
  <si>
    <t>UHRIP - Uniform Hospital Rate Increase Payment</t>
  </si>
  <si>
    <t>CHIRP - Comprehensive Hospital Increase Reimbursement Program</t>
  </si>
  <si>
    <t>OP - Outpatient</t>
  </si>
  <si>
    <t>IP - Inpatient</t>
  </si>
  <si>
    <t>Total CHIRP Payment</t>
  </si>
  <si>
    <t>SDA - Service Delivery Area</t>
  </si>
  <si>
    <t>Inpatient Medicaid Base Payments</t>
  </si>
  <si>
    <t>Inpatient Pass-Through Payments</t>
  </si>
  <si>
    <t>Outpatient Medicaid Base Payments</t>
  </si>
  <si>
    <t>Total OP Medicaid Base Payments</t>
  </si>
  <si>
    <t>Total Medicaid Base Payments</t>
  </si>
  <si>
    <t>IP Medicare UPL</t>
  </si>
  <si>
    <t>OP Medicare UPL</t>
  </si>
  <si>
    <t>Total Medicare UPL</t>
  </si>
  <si>
    <t>IP ACR UPL</t>
  </si>
  <si>
    <t>OP ACR UPL</t>
  </si>
  <si>
    <t>ACR Exceeding Medicare UPL</t>
  </si>
  <si>
    <t>TPI</t>
  </si>
  <si>
    <t>Baptist Hospitals of Southeast Texas</t>
  </si>
  <si>
    <t>Dimmit Regional Hospital</t>
  </si>
  <si>
    <t>Medical City Las Colinas</t>
  </si>
  <si>
    <t>Medical City Green Oaks</t>
  </si>
  <si>
    <t>Medical City Alliance</t>
  </si>
  <si>
    <t>Medical City Plano</t>
  </si>
  <si>
    <t>Medical City Dallas</t>
  </si>
  <si>
    <t>Medical City Weatherford</t>
  </si>
  <si>
    <t>Medical City Arlington</t>
  </si>
  <si>
    <t>Medical City Fort Worth</t>
  </si>
  <si>
    <t>Medical City North Hills</t>
  </si>
  <si>
    <t>Medical City Lewisville</t>
  </si>
  <si>
    <t>Medical City Denton</t>
  </si>
  <si>
    <t>Medical City McKinney</t>
  </si>
  <si>
    <t>Round Rock Medical Center</t>
  </si>
  <si>
    <t>North Austin Medical Center</t>
  </si>
  <si>
    <t>St. David's Medical Center</t>
  </si>
  <si>
    <t>Lubbock County Hospital District</t>
  </si>
  <si>
    <t>Methodist Hospital</t>
  </si>
  <si>
    <t>Big Bend Regional Medical Center</t>
  </si>
  <si>
    <t>Palestine Principal Healthcare Limited Partnership</t>
  </si>
  <si>
    <t>Parkview Regional Hospital</t>
  </si>
  <si>
    <t>Lake Granbury Hospital</t>
  </si>
  <si>
    <t>Laredo Medical Center</t>
  </si>
  <si>
    <t>St. Mark's Medical Center</t>
  </si>
  <si>
    <t>Cedar Park Regional Medical Center</t>
  </si>
  <si>
    <t>Cook Children's Medical Center</t>
  </si>
  <si>
    <t>Detar Hospitals</t>
  </si>
  <si>
    <t>Longview RMC</t>
  </si>
  <si>
    <t>Navarro Regional Hospital</t>
  </si>
  <si>
    <t>Eastland Memorial Hospital District</t>
  </si>
  <si>
    <t>Ascension Providence</t>
  </si>
  <si>
    <t>Ascension Seton Medical Center Austin</t>
  </si>
  <si>
    <t>Ascension Seton Northwest</t>
  </si>
  <si>
    <t>Ascension Seton Highland Lakes</t>
  </si>
  <si>
    <t>Ascension Seton Shoal Creek</t>
  </si>
  <si>
    <t>Ascension Seton Southwest</t>
  </si>
  <si>
    <t>Ascension Seton Hays</t>
  </si>
  <si>
    <t>Dell Children's Medical Center</t>
  </si>
  <si>
    <t>Ascension Seton Williamson</t>
  </si>
  <si>
    <t>Ascension Seton Smithville</t>
  </si>
  <si>
    <t>Dell Seton Medical Center at University of Texas</t>
  </si>
  <si>
    <t>Mitchell County Hospital District</t>
  </si>
  <si>
    <t>Moore County Hospital District</t>
  </si>
  <si>
    <t>Covenant Medical Center</t>
  </si>
  <si>
    <t>Hunt Regional Medical Center</t>
  </si>
  <si>
    <t>Baylor Medical Center at Waxahachie</t>
  </si>
  <si>
    <t>Baylor Regional Medical Center at Grapevine</t>
  </si>
  <si>
    <t>NAIP in UPL Test</t>
  </si>
  <si>
    <t>Children's Bexar</t>
  </si>
  <si>
    <t>Children's Dallas</t>
  </si>
  <si>
    <t>Children's El Paso</t>
  </si>
  <si>
    <t>Children's Harris</t>
  </si>
  <si>
    <t>Children's Lubbock</t>
  </si>
  <si>
    <t>Children's Nueces</t>
  </si>
  <si>
    <t>Children's Tarrant</t>
  </si>
  <si>
    <t>Children's Travis</t>
  </si>
  <si>
    <t>Urban Harris</t>
  </si>
  <si>
    <t>Urban Dallas</t>
  </si>
  <si>
    <t>Urban Bexar</t>
  </si>
  <si>
    <t>State-Owned Non-IMD Harris</t>
  </si>
  <si>
    <t>Urban MRSA Central</t>
  </si>
  <si>
    <t>Urban Hidalgo</t>
  </si>
  <si>
    <t>Urban Tarrant</t>
  </si>
  <si>
    <t>Urban Lubbock</t>
  </si>
  <si>
    <t>Urban Nueces</t>
  </si>
  <si>
    <t>Urban El Paso</t>
  </si>
  <si>
    <t>Urban Travis</t>
  </si>
  <si>
    <t>Urban MRSA Northeast</t>
  </si>
  <si>
    <t>Urban MRSA West</t>
  </si>
  <si>
    <t>Urban Jefferson</t>
  </si>
  <si>
    <t>State-Owned Non-IMD Dallas</t>
  </si>
  <si>
    <t>State-Owned Non-IMD MRSA Northeast</t>
  </si>
  <si>
    <t>Rural Hidalgo</t>
  </si>
  <si>
    <t>Rural MRSA Northeast</t>
  </si>
  <si>
    <t>Rural MRSA West</t>
  </si>
  <si>
    <t>Rural Tarrant</t>
  </si>
  <si>
    <t>Non-State-Owned IMD Tarrant</t>
  </si>
  <si>
    <t>Non-State-Owned IMD Harris</t>
  </si>
  <si>
    <t>Non-State-Owned IMD El Paso</t>
  </si>
  <si>
    <t>Non-State-Owned IMD Dallas</t>
  </si>
  <si>
    <t>Non-State-Owned IMD Bexar</t>
  </si>
  <si>
    <t>State-Owned IMD MRSA West</t>
  </si>
  <si>
    <t>Rural Harris</t>
  </si>
  <si>
    <t>Rural Jefferson</t>
  </si>
  <si>
    <t>Rural Dallas</t>
  </si>
  <si>
    <t>Rural Nueces</t>
  </si>
  <si>
    <t>Rural Travis</t>
  </si>
  <si>
    <t>Rural Bexar</t>
  </si>
  <si>
    <t>Rural Lubbock</t>
  </si>
  <si>
    <t>Non-State-Owned IMD Travis</t>
  </si>
  <si>
    <t>Non-State-Owned IMD Hidalgo</t>
  </si>
  <si>
    <t>Rural MRSA Central</t>
  </si>
  <si>
    <t>Non-State-Owned IMD MRSA Central</t>
  </si>
  <si>
    <t>State-Owned IMD Harris</t>
  </si>
  <si>
    <t>Non-State-Owned IMD MRSA West</t>
  </si>
  <si>
    <t>State-Owned IMD El Paso</t>
  </si>
  <si>
    <t>State-Owned IMD Travis</t>
  </si>
  <si>
    <t>State-Owned IMD Dallas</t>
  </si>
  <si>
    <t>Non-State-Owned IMD Lubbock</t>
  </si>
  <si>
    <t>State-Owned IMD Bexar</t>
  </si>
  <si>
    <t>State-Owned Non-IMD Bexar</t>
  </si>
  <si>
    <t>State-Owned IMD Hidalgo</t>
  </si>
  <si>
    <t>State-Owned IMD MRSA Central</t>
  </si>
  <si>
    <t>State-Owned IMD MRSA Northeast</t>
  </si>
  <si>
    <t>Non-State-Owned IMD MRSA Northeast</t>
  </si>
  <si>
    <t>IP Medicare UPL Gap</t>
  </si>
  <si>
    <t>OP Medicare UPL Gap</t>
  </si>
  <si>
    <t>Total Medicare UPL Gap</t>
  </si>
  <si>
    <t>IP UHRIP Payment</t>
  </si>
  <si>
    <t>OP UHRIP Payment</t>
  </si>
  <si>
    <t>Total UHRIP Payment</t>
  </si>
  <si>
    <t>UHRIP Rate Increase based on IP Medicare Gap</t>
  </si>
  <si>
    <t>UHRIP Rate Increase based on OP Medicare Gap</t>
  </si>
  <si>
    <t>415580601</t>
  </si>
  <si>
    <t>Non-state-owned IMD</t>
  </si>
  <si>
    <t>414962701</t>
  </si>
  <si>
    <t>Ascension Seton Bastrop</t>
  </si>
  <si>
    <t>El Paso Behavioral Health, LLC DBA Rio Vista Behavioral Health</t>
  </si>
  <si>
    <t>414763901</t>
  </si>
  <si>
    <t>1104381292</t>
  </si>
  <si>
    <t>413256501</t>
  </si>
  <si>
    <t>1154893675</t>
  </si>
  <si>
    <t>1487271375</t>
  </si>
  <si>
    <t>Methodist Midlothian Medical Center</t>
  </si>
  <si>
    <t>420957901</t>
  </si>
  <si>
    <t>1184233785</t>
  </si>
  <si>
    <t>CHIRP Class</t>
  </si>
  <si>
    <t>454088</t>
  </si>
  <si>
    <t>Dallas Behavioral Healthcare Hospital</t>
  </si>
  <si>
    <t>Bosque County Hospital District dba Goodall-Witcher Hospital</t>
  </si>
  <si>
    <t>121776204</t>
  </si>
  <si>
    <t>171848801</t>
  </si>
  <si>
    <t>Scott &amp; White Hospital - Brenham</t>
  </si>
  <si>
    <t>Scott &amp; White Continuing Care Hospital</t>
  </si>
  <si>
    <t>Lake Pointe Operating Company, LLC</t>
  </si>
  <si>
    <t>Scott &amp; White Hospital - Taylor</t>
  </si>
  <si>
    <t>W.J. Mangold Memorial Hospital</t>
  </si>
  <si>
    <t>Doctors Hospital at Renaissance, Ltd.</t>
  </si>
  <si>
    <t>191968001</t>
  </si>
  <si>
    <t>Children's Health Plano</t>
  </si>
  <si>
    <t>HMIH Cedar Crest, LLC</t>
  </si>
  <si>
    <t>Red River Hospital</t>
  </si>
  <si>
    <t>Bexar County Hospital District d/b/a University Health</t>
  </si>
  <si>
    <t>Fisher County Hospital District</t>
  </si>
  <si>
    <t>Texas Health Huguley, Inc. dba Texas Health Huguley Hospital Fort Worth South</t>
  </si>
  <si>
    <t>Dallas County Hospital District</t>
  </si>
  <si>
    <t>Hardeman County Memorial Hospital</t>
  </si>
  <si>
    <t>Preferred Hospital Leasing Muleshoe, Inc. dba Muleshoe Area Medical Center</t>
  </si>
  <si>
    <t>Muenster Memorial Hospital</t>
  </si>
  <si>
    <t>Martin County Hospital District</t>
  </si>
  <si>
    <t>Uvalde County Hospital Authority</t>
  </si>
  <si>
    <t>Preferred Hospital Leasing Junction, Inc. dba Kimble Hospital</t>
  </si>
  <si>
    <t>220238401</t>
  </si>
  <si>
    <t>Comanche County Medical Center</t>
  </si>
  <si>
    <t>Falls Community Hospital and Clinic</t>
  </si>
  <si>
    <t>Preferred Hospital Leasing Hemphill, Inc. dba Sabine County Hospital</t>
  </si>
  <si>
    <t>670260</t>
  </si>
  <si>
    <t>HCA Houston Clear Lake</t>
  </si>
  <si>
    <t>HCA Houston Conroe</t>
  </si>
  <si>
    <t>HCA Houston Southeast</t>
  </si>
  <si>
    <t>HCA Houston Medical Center</t>
  </si>
  <si>
    <t>HCA Houston Northwest</t>
  </si>
  <si>
    <t>Texas Orthopedic Hospital</t>
  </si>
  <si>
    <t>Encompass Health Rehabilitation Hospital of Abilene</t>
  </si>
  <si>
    <t>Encompass Health Rehabilitation Hospital of Austin</t>
  </si>
  <si>
    <t>HCA Houston West</t>
  </si>
  <si>
    <t>Encompass Health Rehabilitation Hospital of Dallas</t>
  </si>
  <si>
    <t>Swisher Memorial Healthcare System</t>
  </si>
  <si>
    <t>Encompass Health Rehabilitation Hospital of Midland Odessa</t>
  </si>
  <si>
    <t>HCA Houston Tomball</t>
  </si>
  <si>
    <t>Encompass Health Rehabilitation Hospital of Plano</t>
  </si>
  <si>
    <t>HCA Houston Kingwood</t>
  </si>
  <si>
    <t>Encompass Health Rehabilitation Hospital of Richardson</t>
  </si>
  <si>
    <t>Encompass Health Rehabilitation Hospital of Round Rock</t>
  </si>
  <si>
    <t>Encompass Health Rehabilitation Hospital of San Antonio</t>
  </si>
  <si>
    <t>Valley Regional Medical Center</t>
  </si>
  <si>
    <t>Wilson County Memorial Hospital District dba Connally Memorial Medical Center</t>
  </si>
  <si>
    <t>673070</t>
  </si>
  <si>
    <t>Medical Center Health System</t>
  </si>
  <si>
    <t>Encompass Health Rehabilitation Hospital of Texarkana</t>
  </si>
  <si>
    <t>1447883301</t>
  </si>
  <si>
    <t>Preferred Hospital Leasing Coleman, Inc. dba Coleman County Medical Center</t>
  </si>
  <si>
    <t>Jackson County Hospital District</t>
  </si>
  <si>
    <t>Christus Trinity Mother Frances Rehabilitation Hospital, a partner of Encompass Health</t>
  </si>
  <si>
    <t>OakBend Medical Center</t>
  </si>
  <si>
    <t>University of Texas Health Science Center at Tyler</t>
  </si>
  <si>
    <t>University of Texas Southwestern Medical Center - Clements University Hospital</t>
  </si>
  <si>
    <t>Ascension Seton Edgar B Davis</t>
  </si>
  <si>
    <t>Rio Grande Regional Hospital</t>
  </si>
  <si>
    <t>Woman's Hospital of Texas</t>
  </si>
  <si>
    <t>Coryell County Memorial Hospital Authority</t>
  </si>
  <si>
    <t>Baylor County Hospital District - Seymour Hospital</t>
  </si>
  <si>
    <t>Haskell County Hospital District dba Haskell Memorial Hospital</t>
  </si>
  <si>
    <t>Big Springs State Hospital</t>
  </si>
  <si>
    <t>Rusk State Hospital</t>
  </si>
  <si>
    <t>Reeves County Hospital District</t>
  </si>
  <si>
    <t>Medina County Hospital District</t>
  </si>
  <si>
    <t>199478202</t>
  </si>
  <si>
    <t>138349908</t>
  </si>
  <si>
    <t>094190802</t>
  </si>
  <si>
    <t>1730406265</t>
  </si>
  <si>
    <t>111829106</t>
  </si>
  <si>
    <t>El Paso Psychiatric Center</t>
  </si>
  <si>
    <t>4533N3</t>
  </si>
  <si>
    <t>BOSQUE COUNTY HOSPITAL DISTRICT-GOODALL-WITCHER HOSPITAL</t>
  </si>
  <si>
    <t>4533C1</t>
  </si>
  <si>
    <t>Terrell State Hospital</t>
  </si>
  <si>
    <t>San Antonio State Hospital</t>
  </si>
  <si>
    <t>325177902</t>
  </si>
  <si>
    <t>219386401</t>
  </si>
  <si>
    <t>454119</t>
  </si>
  <si>
    <t>454147</t>
  </si>
  <si>
    <t>454142</t>
  </si>
  <si>
    <t>IP ACIA Payment</t>
  </si>
  <si>
    <t>OP ACIA Payment</t>
  </si>
  <si>
    <t>IP ACIA Rate</t>
  </si>
  <si>
    <t>OP ACIA Rate</t>
  </si>
  <si>
    <t>IP UHRIP Rate</t>
  </si>
  <si>
    <t>OP UHRIP Rate</t>
  </si>
  <si>
    <t>Total ACIA Payment</t>
  </si>
  <si>
    <t>State Share</t>
  </si>
  <si>
    <t>% of ACR before Cutback</t>
  </si>
  <si>
    <t>Hospitals Receive</t>
  </si>
  <si>
    <t>MCO Retains</t>
  </si>
  <si>
    <t>Suggested Total IGT for Declaration of Intent after 8% (12 months)</t>
  </si>
  <si>
    <t>Suggested IGT for 1st 6 months</t>
  </si>
  <si>
    <t>Suggested IGT for 2nd 6 months</t>
  </si>
  <si>
    <t>OP ACR Exceeding OP UHRIP Payment</t>
  </si>
  <si>
    <t>IP ACR Exceeding IP UHRIP Payment</t>
  </si>
  <si>
    <t>IP ACR Exceeding Medicare UPL</t>
  </si>
  <si>
    <t>OP ACR Exceeding Medicare UPL</t>
  </si>
  <si>
    <t>SFY 2022 FMAP</t>
  </si>
  <si>
    <t>UHRIP</t>
  </si>
  <si>
    <t>ACIA</t>
  </si>
  <si>
    <t>Fees (Risk Margin, Admin, and Premium Tax)</t>
  </si>
  <si>
    <t>Federal Share</t>
  </si>
  <si>
    <t>Non-Federal Share</t>
  </si>
  <si>
    <t>Class and SDA</t>
  </si>
  <si>
    <t>San Antonio Behavioral Healthcare Hospital</t>
  </si>
  <si>
    <t>Mesa Springs</t>
  </si>
  <si>
    <t>Woodland Springs</t>
  </si>
  <si>
    <t>Georgetown Behavioral Health Institute, LLC</t>
  </si>
  <si>
    <t>Does the Hospital Have Positive IP ACR Room?</t>
  </si>
  <si>
    <t>Does the Hospital Have Positive OP ACR Room?</t>
  </si>
  <si>
    <t>1942795133</t>
  </si>
  <si>
    <t>Inpatient CHIRP Rate</t>
  </si>
  <si>
    <t>Outpatient CHIRP Rate</t>
  </si>
  <si>
    <t>Inpatient SDPs: Estimated UHRIP Payments</t>
  </si>
  <si>
    <t>IP ACIA payment is &gt; $0</t>
  </si>
  <si>
    <t>IGT Recommendations by SDA</t>
  </si>
  <si>
    <t>OP ACIA payment is &gt; $0</t>
  </si>
  <si>
    <t>Total ACIA payment is &gt; $0</t>
  </si>
  <si>
    <t>Inpatient Average Commercial Reimbursement UPL</t>
  </si>
  <si>
    <t>Outpatient Average Commercial Reimbursement UPL</t>
  </si>
  <si>
    <t>Total Dollars</t>
  </si>
  <si>
    <t>STAR IP Total</t>
  </si>
  <si>
    <t>STAR OP Total</t>
  </si>
  <si>
    <t>Capitation Factors</t>
  </si>
  <si>
    <t>Risk Margin - STAR</t>
  </si>
  <si>
    <t>Risk Margin - STAR+PLUS</t>
  </si>
  <si>
    <t>Admin</t>
  </si>
  <si>
    <t>Premium Tax</t>
  </si>
  <si>
    <t>ACA Fee</t>
  </si>
  <si>
    <t>MCO Fees</t>
  </si>
  <si>
    <t>Cutback</t>
  </si>
  <si>
    <t>Outpatient SDPs: Estimated UHRIP Payments</t>
  </si>
  <si>
    <t>Placeholder for IGT Received in June</t>
  </si>
  <si>
    <t>Requested to participate in ACIA Component?</t>
  </si>
  <si>
    <t>Yes</t>
  </si>
  <si>
    <t>No</t>
  </si>
  <si>
    <t>Inpatient ACR Payment Level</t>
  </si>
  <si>
    <t>Outpatient ACR Payment Level</t>
  </si>
  <si>
    <t>Allowable % of IP ACIA</t>
  </si>
  <si>
    <t>Reduction</t>
  </si>
  <si>
    <t>Allowable IP ACIA Payment to Stay at 90% of ACR.</t>
  </si>
  <si>
    <t>Allowable OP ACIA Payment to Stay at 90% of ACR.</t>
  </si>
  <si>
    <t>Allowable % of OP ACIA</t>
  </si>
  <si>
    <t>Revised IP ACIA Rate</t>
  </si>
  <si>
    <t>Revised OP ACIA Rate</t>
  </si>
  <si>
    <t>Revised IP ACIA Payment to stay at 90% of ACR</t>
  </si>
  <si>
    <t>Revised OP ACIA Payment to stay at 90% of ACR</t>
  </si>
  <si>
    <t>Inpatient SDPs: Estimated Inpatient ACIA Payments before reduction</t>
  </si>
  <si>
    <t>Outpatient SDPs: Estimated Outpatient ACIA Payments before reduction</t>
  </si>
  <si>
    <t>ACIA Reduction Calculation to Stay at 90% of ACR</t>
  </si>
  <si>
    <t>IP ACIA Payment before reduction to stay at 90% of ACR</t>
  </si>
  <si>
    <t>OP ACIA Payment (before reduction to stay at 90% of ACR)</t>
  </si>
  <si>
    <t>Key:</t>
  </si>
  <si>
    <t>Fields that will autofill</t>
  </si>
  <si>
    <t>Master TPI list</t>
  </si>
  <si>
    <t>Enrollment</t>
  </si>
  <si>
    <t>Standard Dollar Amount File</t>
  </si>
  <si>
    <t>Actuarial Analysis</t>
  </si>
  <si>
    <t>IP Medicare UPL Test and IMD Medicare UPL Test</t>
  </si>
  <si>
    <t>OP Medicare UPL Test, or 0 for IMDs</t>
  </si>
  <si>
    <t xml:space="preserve">UNIVERSITY OF TEXAS HEALTH SCIENCE CENTER AT HOUST-HARRIS COUNTY PSYCHIATRIC CENTER                  </t>
  </si>
  <si>
    <t xml:space="preserve">HEALTH AND HUMAN SERVICES COMMISSION-AUSTIN STATE HOSPITAL                             </t>
  </si>
  <si>
    <t xml:space="preserve">HEALTH AND HUMAN SERVICES COMMISSION-NORTH TEXAS STATE HOSPITAL                        </t>
  </si>
  <si>
    <t xml:space="preserve">HEALTH AND HUMAN SERVICES COMMISSION-RIO  GRANDE STATE CENTER                          </t>
  </si>
  <si>
    <t xml:space="preserve">GREEN OAKS HOSPITAL SUBSIDIA-MEDICAL CITY GREEN OAKS HOSPITAL DALLAS           </t>
  </si>
  <si>
    <t xml:space="preserve">RIVER CREST HOSPITAL INC-RIVER CREST HOSPITAL                              </t>
  </si>
  <si>
    <t xml:space="preserve">HEALTH AND HUMAN SERVICES COMMISSION-TDMHMR-EL PASO PSYCHIATRIC CENTER                 </t>
  </si>
  <si>
    <t xml:space="preserve">HEALTH AND HUMAN SERVICES COMMISSION-RUSK STATE HOSPITAL                               </t>
  </si>
  <si>
    <t xml:space="preserve">HEALTH AND HUMAN SERVICES COMMISSION-BIG SPRING HOSPITAL                               </t>
  </si>
  <si>
    <t xml:space="preserve">HEALTH AND HUMAN SERVICES COMMISSION-TERRELL STATE HOSPITAL                            </t>
  </si>
  <si>
    <t xml:space="preserve">HEALTH AND HUMAN SERVICES COMMISSION-SAN ANTONIO STATE HOSPITAL                        </t>
  </si>
  <si>
    <t>IRVING COPPELL SURGICAL HOSPITAL LLP-BAYLOR SCOTT AND WHITE SURGICAL HOSPITAL LAS COLIN</t>
  </si>
  <si>
    <t xml:space="preserve">EVEREST REAL ESTATE INVESTMENTS LLP-SE TEXAS ER AND HOSPITAL                          </t>
  </si>
  <si>
    <t>451396</t>
  </si>
  <si>
    <t xml:space="preserve">LUBBOCK HERITAGE HOSPITAL LLC-GRACE SURGICAL HOSPITAL                           </t>
  </si>
  <si>
    <t xml:space="preserve">OCEANS BEHAVIORAL HOSPITAL OF PASADENA LLC-OCEANS BEHAVIORAL HOSPITAL OF PASADENA            </t>
  </si>
  <si>
    <t xml:space="preserve">SACRED OAK MEDICAL CENTER, LLC-                                                  </t>
  </si>
  <si>
    <t>422236601</t>
  </si>
  <si>
    <t>670135</t>
  </si>
  <si>
    <t>670143</t>
  </si>
  <si>
    <t>1457820995</t>
  </si>
  <si>
    <t>422067501</t>
  </si>
  <si>
    <t>1053839233</t>
  </si>
  <si>
    <t>417321301</t>
  </si>
  <si>
    <t>PAM SPECIALTY HOSPITAL OF SAN ANTONIO MEDICAL CENT</t>
  </si>
  <si>
    <t>1700441086</t>
  </si>
  <si>
    <t>408236401</t>
  </si>
  <si>
    <t>454149</t>
  </si>
  <si>
    <t xml:space="preserve">PERIMETER BEHAVIORAL HOSPITAL OF GARLAND, LLC-PERIMETER BEHAVIORAL HOSPITAL OF DALLAS           </t>
  </si>
  <si>
    <t>SOUTH PLAINS REHABILITATION HOSPITAL, LLC-SOUTH PLAINS REHABILITATION HOSPITAL, AN AFFILIATE</t>
  </si>
  <si>
    <t xml:space="preserve">EL PASO BEHAVIORAL HOSPITAL LLC-RIO VISTA BEHAVIORAL HEALTH                       </t>
  </si>
  <si>
    <t>Sources:</t>
  </si>
  <si>
    <t>020844909</t>
  </si>
  <si>
    <t>411431601</t>
  </si>
  <si>
    <t>1417429945</t>
  </si>
  <si>
    <t>670300</t>
  </si>
  <si>
    <t>TEXAS HEALTH HOSPITAL FRISCO</t>
  </si>
  <si>
    <t>424980701</t>
  </si>
  <si>
    <t>670267</t>
  </si>
  <si>
    <t>133367611</t>
  </si>
  <si>
    <t>Calculated in the ACR model tab using enrollment and UPL info; for IMDs, need Medicaid charges as well.</t>
  </si>
  <si>
    <t>Calculated in the ACR model tab using enrollment and UPL info.</t>
  </si>
  <si>
    <t>Corresponding UPL Demo Column</t>
  </si>
  <si>
    <t>Column G of IP Payment tab of UPL test [109]</t>
  </si>
  <si>
    <t>Column H of IP Payment tab of UPL test [112]</t>
  </si>
  <si>
    <t>Column I of IP Payment tab of UPL Test [107]</t>
  </si>
  <si>
    <t>Column J of IP Payment tab of UPL Test [108]</t>
  </si>
  <si>
    <t>Column K of IP Payment tab of UPL Test [110]</t>
  </si>
  <si>
    <t>Column L of IP Payment tab of UPL Test [113]</t>
  </si>
  <si>
    <t>Column U of IP Payment tab of UPL Test [301]</t>
  </si>
  <si>
    <t>Column V of IP Payment tab of UPL Test [302]</t>
  </si>
  <si>
    <t>Column W of IP Payment tab of UPL Test [303.1]</t>
  </si>
  <si>
    <t>Column AD of IP Payment tab of UPL Test [318]</t>
  </si>
  <si>
    <t>Column AJ of IP Payment tab of UPL Test [403]</t>
  </si>
  <si>
    <t>Column AM of IP Payment tab of UPL Test [409]</t>
  </si>
  <si>
    <t>Ownership Category</t>
  </si>
  <si>
    <t>Critical Access Hospital</t>
  </si>
  <si>
    <t>Medicaid Regular Payments (no UHRIP)</t>
  </si>
  <si>
    <t>Medicaid Supplemental Payments (NAIP)</t>
  </si>
  <si>
    <t>Medicaid Payments Inflated to Demonstration Year</t>
  </si>
  <si>
    <t>Adjusted Medicare UPL Amount</t>
  </si>
  <si>
    <t>Adjusted UPL Gap</t>
  </si>
  <si>
    <t>Frio Hospital Association dba Frio Regional Hospital</t>
  </si>
  <si>
    <t>Wise Health System</t>
  </si>
  <si>
    <t>Stephens Memorial Hospital</t>
  </si>
  <si>
    <t>Rock Springs, LLC</t>
  </si>
  <si>
    <t>COUNTY OF YOAKUM, d/b/a, YOAKUM COUNTY HOSPITAL</t>
  </si>
  <si>
    <t>Baptist Neighborhood Hospital</t>
  </si>
  <si>
    <t>Memorial Hermann - Northeast</t>
  </si>
  <si>
    <t>Memorial Hermann - TIRR</t>
  </si>
  <si>
    <t>Graham Regional Medical Center</t>
  </si>
  <si>
    <t>Heart of Texas Memorial Hospital</t>
  </si>
  <si>
    <t>Oceans Behavioral Hospital of Abilene, LLC</t>
  </si>
  <si>
    <t>Oceans Behavioral Hospital of the Permian Basin</t>
  </si>
  <si>
    <t>Harlingen Medical Center</t>
  </si>
  <si>
    <t>Pampa Regional Medical Center</t>
  </si>
  <si>
    <t>Methodist Health Centers d/b/a Houston Methodist Sugar Land Hospital</t>
  </si>
  <si>
    <t>Methodist Health Centers d/b/a Houston Methodist Willowbrook Hospital</t>
  </si>
  <si>
    <t>Methodist Health Centers d/b/a Houston Methodist West Hospital</t>
  </si>
  <si>
    <t>San Jacinto Methodist Hospital d/b/a Houston Methodist Baytown Hospital</t>
  </si>
  <si>
    <t>The Methodist Hospital d/b/a Houston Methodist Hospital</t>
  </si>
  <si>
    <t>Methodist Health Centers d/b/a Houston Methodist The Woodlands Hospital</t>
  </si>
  <si>
    <t>Guadalupe County Hospital Board DBA Guadalupe Regional Medical Center</t>
  </si>
  <si>
    <t>Glen Oaks Hospital</t>
  </si>
  <si>
    <t>River Crest Hospital</t>
  </si>
  <si>
    <t>Cypress Creek Hospital Inc</t>
  </si>
  <si>
    <t>SHC KPH LP</t>
  </si>
  <si>
    <t>Laurel Ridge Treatment Center</t>
  </si>
  <si>
    <t>Millwood Hospital</t>
  </si>
  <si>
    <t>Austin Oaks Hospital</t>
  </si>
  <si>
    <t>Behavioral Health Bellaire</t>
  </si>
  <si>
    <t>Mayhill Hospital</t>
  </si>
  <si>
    <t>University Behavioral Health of Denton</t>
  </si>
  <si>
    <t>University BH of El Paso</t>
  </si>
  <si>
    <t>Matagorda County Hospital District</t>
  </si>
  <si>
    <t>CASTRO COUNTY HOSPITAL DISTRICT DBA PLAINS MEMORIAL HOSPITAL</t>
  </si>
  <si>
    <t>Scott &amp; White Hospital -Marble Falls</t>
  </si>
  <si>
    <t>HCA Houston Pearland</t>
  </si>
  <si>
    <t>Methodist Charlton Medical Center</t>
  </si>
  <si>
    <t>Methodist Dallas Medical Center</t>
  </si>
  <si>
    <t>Methodist Mansfield Medical Center</t>
  </si>
  <si>
    <t>Methodist Richardson Medical Center</t>
  </si>
  <si>
    <t>CAHRMC LLC dba Rice Medical Center</t>
  </si>
  <si>
    <t>St. Davids South Austin</t>
  </si>
  <si>
    <t>Las Palmas Del Sol</t>
  </si>
  <si>
    <t>Shannon Rehabilitation Hospital, an affiliate of Encompass Health</t>
  </si>
  <si>
    <t>Deaf Smith County Hospital District</t>
  </si>
  <si>
    <t>Encompass Health Rehabilitation Hospital of Waco</t>
  </si>
  <si>
    <t>Throckmorton County Memorial Hospital</t>
  </si>
  <si>
    <t>Kerrville State Hospital</t>
  </si>
  <si>
    <t>North Texas State Hospital/Wichita</t>
  </si>
  <si>
    <t>North Texas State Hospital/Vernon</t>
  </si>
  <si>
    <t>Rio Grande State School</t>
  </si>
  <si>
    <t>Texas Center for Infectious Diseases</t>
  </si>
  <si>
    <t>Waco Center for Youth</t>
  </si>
  <si>
    <t>Paris Regional Medical Center</t>
  </si>
  <si>
    <t>Cuero Community Hospital</t>
  </si>
  <si>
    <t>Wilbarger County Hospital District</t>
  </si>
  <si>
    <t>Scenic Mountain Medical Center</t>
  </si>
  <si>
    <t>Odessa Regional Medical Center</t>
  </si>
  <si>
    <t>The Medical Center Of Southeast Texas</t>
  </si>
  <si>
    <t>Wadley Regional Medical Center</t>
  </si>
  <si>
    <t>Andrews County Hospital District</t>
  </si>
  <si>
    <t>Ward Memorial Hospital</t>
  </si>
  <si>
    <t>Karnes County Hospital District</t>
  </si>
  <si>
    <t>Sweeny Community Hospital</t>
  </si>
  <si>
    <t>Texas Vista Medical Center</t>
  </si>
  <si>
    <t>Houston Behavioral Healthcare Hospital</t>
  </si>
  <si>
    <t>Lillian Hudspeth Memorial Hospital</t>
  </si>
  <si>
    <t>El Paso County Hospital District dba University Medical Center of El Paso</t>
  </si>
  <si>
    <t>Crane County Hospital District</t>
  </si>
  <si>
    <t>Val Verde Regional Medical Center</t>
  </si>
  <si>
    <t>Metroplex Adventist Hospital, Inc. dba AdventHealth Central Texas</t>
  </si>
  <si>
    <t>Metroplex Adventist Hospital, Inc. dba AdventHealth Rollins Brook</t>
  </si>
  <si>
    <t>Stonewall Memorial Hospital District</t>
  </si>
  <si>
    <t>PRHC Ennis LP</t>
  </si>
  <si>
    <t>MIDLAND COUNTY HOSPITAL DISTRCT - MIDLAND MEMORIAL HOSPITAL</t>
  </si>
  <si>
    <t>Methodist Southlake Medical Center</t>
  </si>
  <si>
    <t>Hendrick Medical Center Brownwood</t>
  </si>
  <si>
    <t>State-owned non-IMD</t>
  </si>
  <si>
    <t>State-owned IMD</t>
  </si>
  <si>
    <t>1881252203</t>
  </si>
  <si>
    <t>1306448899</t>
  </si>
  <si>
    <t>1205420916</t>
  </si>
  <si>
    <t>1427671064</t>
  </si>
  <si>
    <t>1568818417</t>
  </si>
  <si>
    <t>Provider Info:
(PIA)
National 
Provider ID 
(NPI)
[109]</t>
  </si>
  <si>
    <t>Provider Info:
(Required)
Medicare 
Certification 
Number 
(Medicare ID)
[112]</t>
  </si>
  <si>
    <t>Provider Info:
(Required)
State-specific 
Provider ID 
(Medicaid ID)
[107]</t>
  </si>
  <si>
    <t>Provider Info:
(Required)
Provider Name
[108]</t>
  </si>
  <si>
    <t>Provider 
Info:
(Required)
Ownership 
Category 
Type
[110]</t>
  </si>
  <si>
    <t>MCD Inflated 
Payment Info:
(Calculated)
Total Medicaid 
Payments 
[316]</t>
  </si>
  <si>
    <t>UPL Gap Info:
(Calculated) 
UPL Gap 
Amount
[407]</t>
  </si>
  <si>
    <t>UPL Gap Info:
(Required)
Adjustment to 
the UPL Gap
[408]</t>
  </si>
  <si>
    <t>UPL Gap Info:
(Calculated) 
Adjusted UPL 
Gap
[409]</t>
  </si>
  <si>
    <t>Ownership Category Type (Private, NSGO, SGO)</t>
  </si>
  <si>
    <t>Total Medicaid Payments (Per Diem * Days)</t>
  </si>
  <si>
    <t>UPL Gap Amount</t>
  </si>
  <si>
    <t>Adjustment to the UPL Gap ($)</t>
  </si>
  <si>
    <t>Hospital Location</t>
  </si>
  <si>
    <t>All</t>
  </si>
  <si>
    <t>12 Month CHIRP Increase</t>
  </si>
  <si>
    <t xml:space="preserve">  Total - STAR</t>
  </si>
  <si>
    <t xml:space="preserve">  Total - STAR+PLUS</t>
  </si>
  <si>
    <t>OP identified by Bill Codes starting with '13'</t>
  </si>
  <si>
    <t>Children's Health Dallas</t>
  </si>
  <si>
    <t>Sunrise Canyon Hospital</t>
  </si>
  <si>
    <t>NHCI of Hillsboro, Inc. DBA Hill Regional Hospital</t>
  </si>
  <si>
    <t>Austin Behavioral Health</t>
  </si>
  <si>
    <t>STAR+PLUS IP Total</t>
  </si>
  <si>
    <t>UPL Calc Info:
(Calculated)
Inflated UPL 
Amount 
[406]</t>
  </si>
  <si>
    <t>UPL</t>
  </si>
  <si>
    <t>Total IP Medicaid Base Payments (with NAIP)</t>
  </si>
  <si>
    <t>Green Tabs are UPL Data</t>
  </si>
  <si>
    <t>Purple tabs are for IGT</t>
  </si>
  <si>
    <t>Change Log:</t>
  </si>
  <si>
    <t>Total Non-OP (IP)</t>
  </si>
  <si>
    <t>CHIRP OP % Increase</t>
  </si>
  <si>
    <t>CHIRP IP % Increase</t>
  </si>
  <si>
    <t>STAR MCO Retains</t>
  </si>
  <si>
    <t>STAR+PLUS MCO Retains</t>
  </si>
  <si>
    <t>CHIRP SFY2024 Payment Calculation Model</t>
  </si>
  <si>
    <t>CHILDRESS COUNTY HOSPITAL DISTRICT</t>
  </si>
  <si>
    <t>Limestone Medical Center</t>
  </si>
  <si>
    <t>Mission Hospital, Inc</t>
  </si>
  <si>
    <t>Liberty Dayton Regional Medical Center</t>
  </si>
  <si>
    <t>Scurry County Hospital District dba Cogdell Memorial Hospital</t>
  </si>
  <si>
    <t>Citizens Medical Center</t>
  </si>
  <si>
    <t>Cook Children's Medical Center - Prosper</t>
  </si>
  <si>
    <t>GPCH LLC dba Golden Plains Community Hospital</t>
  </si>
  <si>
    <t>Warm Springs Rehabilitation Hospital of San Antonio</t>
  </si>
  <si>
    <t>PAM Rehabilitation Hospital of Corpus Christi</t>
  </si>
  <si>
    <t>PAM Rehabilitation Hospital of Allen</t>
  </si>
  <si>
    <t>PAM Specialty and Rehabilitation Hospital of Luling</t>
  </si>
  <si>
    <t>Tarrant County Hospital District</t>
  </si>
  <si>
    <t>Baylor Scott and White Emergency Hospital -Burleson</t>
  </si>
  <si>
    <t>The Hospitals of Providence</t>
  </si>
  <si>
    <t>Dallas Medical Center</t>
  </si>
  <si>
    <t xml:space="preserve"> Prime Healthcare Services - Mesquite LLC (DBA Dallas Regional Medical Center)</t>
  </si>
  <si>
    <t>Seminole Hospital District of Gaines County</t>
  </si>
  <si>
    <t>CHI St. Joesph Health Rehabilitation Hospital, an affiliate of Encompass Health</t>
  </si>
  <si>
    <t>Texas Health Harris Methodist Hospital Fort Worth</t>
  </si>
  <si>
    <t>Texas Health Harris Methodist Hospital Azle</t>
  </si>
  <si>
    <t>Texas Health Harris Methodist Hospital Southwest Fort Worth</t>
  </si>
  <si>
    <t>Clarity Child Guidance Center</t>
  </si>
  <si>
    <t>Texas Health Harris Methodist Hospital Hurst-Euless-Bedford</t>
  </si>
  <si>
    <t>Texas Health Harris Methodist Hospital Cleburne</t>
  </si>
  <si>
    <t>Fort Duncan Medical Center</t>
  </si>
  <si>
    <t>Laredo Regional Medical Center LP</t>
  </si>
  <si>
    <t>Northwest Texas Healthcare System</t>
  </si>
  <si>
    <t>McAllen Hospital LP</t>
  </si>
  <si>
    <t>UHS of Texoma</t>
  </si>
  <si>
    <t xml:space="preserve">Cornerstone Regional Hospital </t>
  </si>
  <si>
    <t>Fannin County Hospital Authority</t>
  </si>
  <si>
    <t>Texas Health Harris Methodist Hospital Stephenville</t>
  </si>
  <si>
    <t>Texas Health Presbyterian Hospital Dallas</t>
  </si>
  <si>
    <t>Texas Health Presbyterian Hospital Kaufman</t>
  </si>
  <si>
    <t>Texas Health Presbyterian Hospital Plano</t>
  </si>
  <si>
    <t>Texas Health Presbyterian Hospital Allen</t>
  </si>
  <si>
    <t>Texas Health Arlington Memorial Hospital</t>
  </si>
  <si>
    <t>Texas Health Presbyterian Hospital Denton</t>
  </si>
  <si>
    <t>Texas Health Harris Methodist Hospital Alliance</t>
  </si>
  <si>
    <t>Texas Health Rockwall</t>
  </si>
  <si>
    <t>Texas Health Southlake</t>
  </si>
  <si>
    <t>Texas Health Flower Mound</t>
  </si>
  <si>
    <t>Westpark Springs</t>
  </si>
  <si>
    <t>Texas Health Center for Diagnostics and Surgery</t>
  </si>
  <si>
    <t>Texas Health Frisco</t>
  </si>
  <si>
    <t>Texas Health Heart and Vascular Hospital</t>
  </si>
  <si>
    <t>Ascension Providence DePaul</t>
  </si>
  <si>
    <t>Baylor Scott &amp; White Medical Centers - Capitol Area - Pflugerville</t>
  </si>
  <si>
    <t xml:space="preserve">Baylor Heart &amp; Vascular Center LLP </t>
  </si>
  <si>
    <t>Baylor Medical Center at Irving</t>
  </si>
  <si>
    <t>Baylor Medical Centers at Garland and McKinney</t>
  </si>
  <si>
    <t>Baylor Regional Medical Center at Plano</t>
  </si>
  <si>
    <t xml:space="preserve">THHBP Management Company LLC </t>
  </si>
  <si>
    <t>Texas Heart Hospital of the Southwest LLP</t>
  </si>
  <si>
    <t>BAYLOR SCOTT &amp; WHITE MEDICAL CENTERS - CAPITOL AREA Austin Oak Hill</t>
  </si>
  <si>
    <t>Baylor Scott &amp; White Medical Center - Centennial</t>
  </si>
  <si>
    <t>Scott &amp; White Hospital - College Station</t>
  </si>
  <si>
    <t>Scott &amp; White Hospital - Round Rock</t>
  </si>
  <si>
    <t>Hillcrest Baptist Medical Center</t>
  </si>
  <si>
    <t>Scott and White Memorial Hospital</t>
  </si>
  <si>
    <t>BAYLOR SCOTT &amp; WHITE MEDICAL CENTERS - CAPITOL AREA BUDA</t>
  </si>
  <si>
    <t>Baylor Scott and White Emergency Hospital - Aubrey</t>
  </si>
  <si>
    <t>ATHENS HOSPITAL LLC - UT HEALTH EAST TEXAS ATHENS HOSPITAL</t>
  </si>
  <si>
    <t>CARTHAGE HOSPITAL LLC - UT HEALTH EAST TEXAS CARTHAGE HOSPITAL</t>
  </si>
  <si>
    <t>HENDERSON HOSPITAL LLC - UT HEALTH EAST TEXAS HENDERSON HOSPITAL</t>
  </si>
  <si>
    <t>JACKSONVILLE HOSPITAL LLC - UT HEALTH EAST TEXAS JACKSONVILLE HOSPITAL</t>
  </si>
  <si>
    <t>PITTSBURG HOSPITAL LLC - UT HEALTH EAST TEXAS PITTSBURG HOSPITAL</t>
  </si>
  <si>
    <t>QUITMAN HOSPITAL LLC - UT HEALTH EAST TEXAS</t>
  </si>
  <si>
    <t>REHABILITATION HOSPITAL LLC - UT HEALTH EAST TEXAS REHABILITATION HOSPITAL</t>
  </si>
  <si>
    <t>TYLER REGIONAL HOSPITAL LLC - UT HEALTH EAST TEXAS TYLER REGIONAL HOSPITAL</t>
  </si>
  <si>
    <t>CHI St. Luke's Health Baylor College of Medicine Medical Center</t>
  </si>
  <si>
    <t>St. Luke's Community Health Services</t>
  </si>
  <si>
    <t>Methodist Children's Hospital dba Covenant Children's Hospital</t>
  </si>
  <si>
    <t>Methodist Hospital Levelland, Inc. dba Covenant Hospital Levelland</t>
  </si>
  <si>
    <t>Methodist Hospital Plainview dba Covenant Hospital Plainview</t>
  </si>
  <si>
    <t>Hamilton County Hospital District</t>
  </si>
  <si>
    <t>BSA HOSPITAL LLC - BAPTIST ST ANTHONYS HOSPITAL</t>
  </si>
  <si>
    <t>HH KILLEEN HEALTH SYSTEM LLC - SETON MEDICAL CENTER HARKER HEIGHTS</t>
  </si>
  <si>
    <t>PHYSICIANS SURGICAL HOSPITALS LLC</t>
  </si>
  <si>
    <t>Knox County Hospital District</t>
  </si>
  <si>
    <t>FAITH COMMUNITY HOSPITA</t>
  </si>
  <si>
    <t>Starr County Memorial Hospital</t>
  </si>
  <si>
    <t>Dawson County Hospital District Dba Medical Arts Hospital</t>
  </si>
  <si>
    <t>PAM Health Rehabilitation Hospital of El Paso</t>
  </si>
  <si>
    <t>St Lukes Community Development Corporation - Sugar Land (St. Luke's Sugar Land Hospital)</t>
  </si>
  <si>
    <t>St Lukes Lakeside Hospital LLC</t>
  </si>
  <si>
    <t>St. Luke's Hospital at the Vintage</t>
  </si>
  <si>
    <t>PMC Hospital LLC (St. Luke's Patients Medical Center)</t>
  </si>
  <si>
    <t>Community Hospital of Brazosport (Brazosport Regional Health System)</t>
  </si>
  <si>
    <t xml:space="preserve">Memorial Medical Center of East Texas </t>
  </si>
  <si>
    <t>Memorial Hospital of Polk County</t>
  </si>
  <si>
    <t xml:space="preserve">Memorial Hospital - San Augustine </t>
  </si>
  <si>
    <t>CHI St. Joseph Regional Health Center</t>
  </si>
  <si>
    <t>CHI St. Joseph Health - Burleson</t>
  </si>
  <si>
    <t>CHI St. Joseph Health - Grimes</t>
  </si>
  <si>
    <t>CHI St. Joseph Health - Madison</t>
  </si>
  <si>
    <t>Brownfield Regional Medical Center</t>
  </si>
  <si>
    <t>Chambers County Public Hospital District No.1</t>
  </si>
  <si>
    <t>Methodist Hospital Atascosa</t>
  </si>
  <si>
    <t>Methodist Hospital Stone Oak</t>
  </si>
  <si>
    <t>Hickory Trail</t>
  </si>
  <si>
    <t>Houston Methodist St. John Hospital d/b/a Houston Methodist Clear Lake Hospital</t>
  </si>
  <si>
    <t xml:space="preserve">CHRISTUS SPOHN HEALTH SYSTEM CORPORATION-CHRISTUS SPOHN HOSPITAL ALICE      </t>
  </si>
  <si>
    <t xml:space="preserve">CHRISTUS Santa Rosa Hospital-San Marcos                                      </t>
  </si>
  <si>
    <t xml:space="preserve">CHRISTUS HEALTH ARK LATEX-CHRISTUS ST MICHAEL        </t>
  </si>
  <si>
    <t xml:space="preserve">West Oak Hospital Inc </t>
  </si>
  <si>
    <t xml:space="preserve">Temple Behavioral Healthcare Hospital Inc dba Canyon Creek Behavioral Health </t>
  </si>
  <si>
    <t>SUN HOUSTON LLC</t>
  </si>
  <si>
    <t>Palms Behavioral Health</t>
  </si>
  <si>
    <t>Lion Star Nacogdoches Hospital</t>
  </si>
  <si>
    <t>Crescent Medical Center Lancaster</t>
  </si>
  <si>
    <t xml:space="preserve">University of Texas Medical Branch </t>
  </si>
  <si>
    <t>El Paso Children's Hospital Corporation</t>
  </si>
  <si>
    <t>WHITE ROCK MEDICAL CENTER</t>
  </si>
  <si>
    <t>Fairfield Hospital District d/b/a Freestone Medical Center</t>
  </si>
  <si>
    <t xml:space="preserve">Memorial Hermann  - TMC </t>
  </si>
  <si>
    <t>Memorial Hermann  - MHHS  ( SE, PL, GH, SW, TW )</t>
  </si>
  <si>
    <t>Memorial Hermann - Memorial City Medical Center</t>
  </si>
  <si>
    <t>Memorial Hermann - Sugar Land Hospital</t>
  </si>
  <si>
    <t>Memorial Hermann - Katy Hospital</t>
  </si>
  <si>
    <t>Memorial Hermann - Katy Rehabilitation Hospital</t>
  </si>
  <si>
    <t>Dallam Hartley Counties Hospital District</t>
  </si>
  <si>
    <t>Hill Country Memorial Hospital</t>
  </si>
  <si>
    <t>Texas Spine and Joint Hospital, LLC</t>
  </si>
  <si>
    <t>Texas Children's Hospital</t>
  </si>
  <si>
    <t>Sana Healthcare Carrollton, LLC dba Carrollton Regional Medical Center</t>
  </si>
  <si>
    <t>SOMERVELL COUNTY HOSPITAL DISTRICT</t>
  </si>
  <si>
    <t>Mid Coast Medical Center - Central</t>
  </si>
  <si>
    <t>BALLINGER MEMORIAL HOSPITAL DISTRICT</t>
  </si>
  <si>
    <t>United Regional Health Care System</t>
  </si>
  <si>
    <t>Texas Health Hospital Mansfield</t>
  </si>
  <si>
    <t xml:space="preserve">Rolling Plains Memorial Hospital </t>
  </si>
  <si>
    <t>Texas Scottish Rite for Crippled Children</t>
  </si>
  <si>
    <t>Hansford County Hospital District</t>
  </si>
  <si>
    <t>CROCKETT MEDICAL CENTER</t>
  </si>
  <si>
    <t>The Hospitals of Providence Memorial Campus</t>
  </si>
  <si>
    <t>The Hospitals of Providence Sierra Campus</t>
  </si>
  <si>
    <t>The Hospitals of Providence East Campus</t>
  </si>
  <si>
    <t>The Hospitals of Providence Transmountain Campus</t>
  </si>
  <si>
    <t>Nacogdoches Medical Center</t>
  </si>
  <si>
    <t>Anson Hospital District</t>
  </si>
  <si>
    <t>Resolute Hospital Company LLC</t>
  </si>
  <si>
    <t>VHS San Antonio Partners LLC</t>
  </si>
  <si>
    <t>Valley Baptist Medical Center - Harlingen</t>
  </si>
  <si>
    <t>Valley Baptist Medical Center - Brownsville</t>
  </si>
  <si>
    <t>Sherman/Grayson Hospital, LLC dba Wilson N Jones Regional Medical Center</t>
  </si>
  <si>
    <t>Refugio County Memorial Hospital</t>
  </si>
  <si>
    <t>Clay County Memorial Hospital</t>
  </si>
  <si>
    <t>Tyler County Hospital District</t>
  </si>
  <si>
    <t>Palo Pinto Hospital District dba Palo Pinto General Hospital</t>
  </si>
  <si>
    <t>Lamb County Hospital DBA Lamb Healthcare Center</t>
  </si>
  <si>
    <t xml:space="preserve">Gainesville Community Hospital, Inc dba North Texas Medical Center </t>
  </si>
  <si>
    <t>Lavaca Hospital District</t>
  </si>
  <si>
    <t>TITUS COUNTY HOSPITAL DISTRICT DBA TITUS REGIONAL MEDICAL CENTER</t>
  </si>
  <si>
    <t xml:space="preserve">Austin State Hospital </t>
  </si>
  <si>
    <t>Hemphill County Hospital</t>
  </si>
  <si>
    <t>1215609896</t>
  </si>
  <si>
    <t xml:space="preserve">1700991700 </t>
  </si>
  <si>
    <t>1073183141</t>
  </si>
  <si>
    <t>1356960132</t>
  </si>
  <si>
    <t>454012</t>
  </si>
  <si>
    <t>454050</t>
  </si>
  <si>
    <t>434254501</t>
  </si>
  <si>
    <t>425956601</t>
  </si>
  <si>
    <t>220798704</t>
  </si>
  <si>
    <t>281514404</t>
  </si>
  <si>
    <t>425740401</t>
  </si>
  <si>
    <t>432815501</t>
  </si>
  <si>
    <t>670132</t>
  </si>
  <si>
    <t>Methodist Hospitals Of Dallas - Methodist Southlake Medical Center</t>
  </si>
  <si>
    <t>431973301</t>
  </si>
  <si>
    <t>670280</t>
  </si>
  <si>
    <t>427092801</t>
  </si>
  <si>
    <t>673071</t>
  </si>
  <si>
    <t>431284501</t>
  </si>
  <si>
    <t>670309</t>
  </si>
  <si>
    <t>TEXAS HEALTH HOSPITAL MANSFIELD</t>
  </si>
  <si>
    <t>673074</t>
  </si>
  <si>
    <t>1033744743</t>
  </si>
  <si>
    <t>425050801</t>
  </si>
  <si>
    <t>454151</t>
  </si>
  <si>
    <t xml:space="preserve">MEDICAL BEHAVIORAL HOSPITAL OF CLEAR LAKE LLC-MEDICAL BEHAVIORAL HOSPITAL OF CLEAR LAKE         </t>
  </si>
  <si>
    <t>1285258640</t>
  </si>
  <si>
    <t>415930301</t>
  </si>
  <si>
    <t xml:space="preserve">KINDRED BH ACQUISITION 2, LLC-WELLBRIDGE HEALTHCARE FORT WORTH                  </t>
  </si>
  <si>
    <t>421199701</t>
  </si>
  <si>
    <t>454152</t>
  </si>
  <si>
    <t xml:space="preserve">TEMPLE BEHAVIORAL HEALTHCARE HOSPITAL INC-CANYON CREEK BEHAVIORAL HEALTH                    </t>
  </si>
  <si>
    <t>Pending</t>
  </si>
  <si>
    <t>431237301</t>
  </si>
  <si>
    <t>432310701</t>
  </si>
  <si>
    <t>Provider-Submitted TPI</t>
  </si>
  <si>
    <t>2023 Master TPI List</t>
  </si>
  <si>
    <t>SFY - State Fiscal Year</t>
  </si>
  <si>
    <t>MCO - Managed Care Organization</t>
  </si>
  <si>
    <t>IGT - Intergovernmental Transfer</t>
  </si>
  <si>
    <t>IMD - Institute for Mental Disease</t>
  </si>
  <si>
    <t>SFY24 Estimated Payments*</t>
  </si>
  <si>
    <t>* SFY22 data trended to SFY24 with 5/4 preliminary factors</t>
  </si>
  <si>
    <t>Prime Healthcare Services - Mesquite LLC (DBA Dallas Regional Medical Center)</t>
  </si>
  <si>
    <t>STAR+PLUS OP Total</t>
  </si>
  <si>
    <t>5.4.2023 Updated calculation with preliminary actuarial factors.</t>
  </si>
  <si>
    <t>Check</t>
  </si>
  <si>
    <t>IP MCO Data</t>
  </si>
  <si>
    <t>ASCENSION PROVIDENCE</t>
  </si>
  <si>
    <t>ASCENSION SETON-ASCENSION SETON BASTROP</t>
  </si>
  <si>
    <t>ASCENSION SETON-ASCENSION SETON HAYS</t>
  </si>
  <si>
    <t>ASCENSION SETON-ASCENSION SETON SMITHVILLE</t>
  </si>
  <si>
    <t>ASCENSION SETON-ASCENSION SETON SOUTHWEST</t>
  </si>
  <si>
    <t>ATRIUM MEDICAL CENTER LP</t>
  </si>
  <si>
    <t>BALLINGER MEMORIAL HOSPITAL DISTRICT-BALLINGER MEMORIAL HOSPITAL</t>
  </si>
  <si>
    <t>BAY AREA HEALTHCARE GROUP LTD-CORPUS CHRISTI MEDICAL CENTER</t>
  </si>
  <si>
    <t>BAYLOR SCOTT &amp; WHITE MEDICAL CENTER - CENTENNIAL</t>
  </si>
  <si>
    <t>BAYLOR SCOTT &amp; WHITE MEDICAL CENTERS - CAPITOL ARE-BAYLOR SCOTT &amp; WHITE MEDICAL CENTER - BUDA</t>
  </si>
  <si>
    <t>BAYLOR SCOTT AND WHITE MEDICAL CENTER GRAPEVINE</t>
  </si>
  <si>
    <t>BAYLOR SCOTT AND WHITE MEDICAL CENTER IRVING</t>
  </si>
  <si>
    <t>BAYLOR SCOTT AND WHITE MEDICAL CENTER PLANO</t>
  </si>
  <si>
    <t>BAYLOR SCOTT AND WHITE MEDICAL CENTER WAXAHACHIE</t>
  </si>
  <si>
    <t>BAYLOR SCOTT AND WHITE MEDICAL CENTERS CAPITOL ARE-BAYLOR SCOTT &amp; WHITE MEDICAL CENTER - AUSTIN</t>
  </si>
  <si>
    <t>BAYTOWN MEDICAL CENTER, LP-ALTUS BAYTOWN HOSPITAL, BAYTOWN MEDICAL CENTER</t>
  </si>
  <si>
    <t>BELLVILLE ST JOSEPH HEALTH CENTER</t>
  </si>
  <si>
    <t>CEDAR PARK HEALTH SYSTEM LP-CEDAR PARK REGIONAL MEDICAL CENTER</t>
  </si>
  <si>
    <t>CHAMBERS COUNTY NSGO HOSPITAL DISTRICT NO 1-BAYSIDE COMMUNITY HOSPITAL</t>
  </si>
  <si>
    <t>CHCA PEARLAND LP-HCA HOUSTON HEALTHCARE PEARLAND</t>
  </si>
  <si>
    <t>CHG HOSPITAL HOUSTON LLC-CORNERSTONE SPECIALTY HOSPITALS BELLAIRE</t>
  </si>
  <si>
    <t>CHILDRENS HEALTH CLINICAL OPERATIONS-CHILDRENS MEDICAL CENTER DALLAS</t>
  </si>
  <si>
    <t>CHILDRENS HEALTH CLINICAL OPERATIONS-CHILDRENS MEDICAL CENTER PLANO</t>
  </si>
  <si>
    <t>CHRISTUS GOOD SHEPHERD MEDICAL CENTER - LONGVIEW</t>
  </si>
  <si>
    <t>CHRISTUS HEALTH ARK LA TEX</t>
  </si>
  <si>
    <t>CHRISTUS HEALTH SOUTHEAST TEXAS-CHRISTUS SOUTHEAST TEXAS JASPER MEMORIAL</t>
  </si>
  <si>
    <t>CHRISTUS SANTA ROSA HEALTH CARE CORPORATION-CHILDRENS HOSPITAL OF SAN ANTONIO</t>
  </si>
  <si>
    <t>CHRISTUS SANTA ROSA HEALTH CARE CORPORATION-CHRISTUS SANTA ROSA HOSPITAL - SAN MARCOS</t>
  </si>
  <si>
    <t>CHRISTUS SPOHN HEALTH SYSTEM CORPORATION</t>
  </si>
  <si>
    <t>CLEAR LAKE INSTITUTE FOR REHABILITATION LLC-PAM REHABILITATION HOSPITAL OF CLEAR LAKE</t>
  </si>
  <si>
    <t>COLUMBIA HOSPITAL MEDICAL CITY DALLAS, SUBSIDIARY-MEDICAL CITY DALLAS</t>
  </si>
  <si>
    <t>COLUMBIA MEDICAL CENTER OF DENTON SUBSIDIARY LP-MEDICAL CITY DENTON</t>
  </si>
  <si>
    <t>CORINTH INVESTOR HOLDINGS LLC</t>
  </si>
  <si>
    <t>CORYELL COUNTY MEMORIAL HOSPITAL AUTHORITY</t>
  </si>
  <si>
    <t>COUNTY OF CLAY-CLAY COUNTY MEMORIAL HOSPITAL</t>
  </si>
  <si>
    <t>DALLAM HARTLEY COUNTIES HOSPITAL DISTRICT-COON MEMORIAL HOSPITAL</t>
  </si>
  <si>
    <t>DALLAS COUNTY HOSPITAL DISTRICT-PARKLAND MEMORIAL HOSPITAL</t>
  </si>
  <si>
    <t>DEWITT MEDICAL DISTRICT-CUERO COMMUNITY HOSPITAL</t>
  </si>
  <si>
    <t xml:space="preserve">ENCOMPASS HEALTH REHABILITATION HOSPITAL OF KATY L-ENCOMPASS HEALTH REHABILITATION HOSPITAL OF KATY  </t>
  </si>
  <si>
    <t>private</t>
  </si>
  <si>
    <t>EVEREST REHABILITATION HOSPITAL TEMPLE LLC-EVEREST REHABILITATION HOSPITAL TEMPLE</t>
  </si>
  <si>
    <t>GRANBURY HOSPITAL CORPORATION-LAKE GRANBURY MEDICAL CENTER</t>
  </si>
  <si>
    <t>07068203</t>
  </si>
  <si>
    <t>HARDEMAN COUNTY MEMORIAL HOSP-HARDEMAN COUNTY MEMORIAL HOSPITAL</t>
  </si>
  <si>
    <t>HASKELL COUNTY HOSPITAL-HASKELL MEMORIAL HOSPITAL</t>
  </si>
  <si>
    <t>HEALTHSOUTH REHABILITATION HOSPITAL OF PEARLAND LL - HEALTHSOUTH REHABILITATION OF HOSPITAL OF PEARLAND</t>
  </si>
  <si>
    <t>HENDRICK MEDICAL CENTER BROWNWOOD</t>
  </si>
  <si>
    <t>HOUSTON NORTHWEST OPERATING COMPANY LLC-HCA HOUSTON HEALTHCARE NORTHWEST</t>
  </si>
  <si>
    <t>HUNTSVILLE COMMUNITY HOSPITAL INC-HUNTSVILLE MEMORIAL HOSPITAL</t>
  </si>
  <si>
    <t>LAREDO TEXAS HOSPITAL COMPANY LP-LAREDO MEDICAL CENTER</t>
  </si>
  <si>
    <t>LOCKNEY GENERAL HOSPITAL DISTRICT-W J MANGOLD MEMORIAL HOSPITAL</t>
  </si>
  <si>
    <t>MEDICAL CENTER OF LEWISVILLE SUBSIDIARY LP-MEDICAL CITY LEWISVILLE</t>
  </si>
  <si>
    <t>MEDINA COUNTY HOSPITAL DISTRICT-MEDINA HEALTHCARE SYSTEM,MEDINA REGIONAL HOSPITAL</t>
  </si>
  <si>
    <t>MEMORIAL MEDICAL CENTER OF EAST TEXAS-CHI ST LUKES HEALTH MEMORIAL LUFKIN</t>
  </si>
  <si>
    <t>METHODIST HEALTHCARE SYSTEM OF SAN ANTONIO LTD LLP-METHODIST HOSPITAL STONE OAK</t>
  </si>
  <si>
    <t>METHODIST HOSPITAL PLAINVIEW TEXAS-COVENANT HOSPITAL PLAINVIEW</t>
  </si>
  <si>
    <t>METHODIST HOSPITALS OF DALLAS - METHODIST MIDLOTHIAN MEDICAL CENTER</t>
  </si>
  <si>
    <t>MID COAST MEDICAL CENTER - CENTRAL</t>
  </si>
  <si>
    <t>MOORE COUNTY HOSPITAL</t>
  </si>
  <si>
    <t>MSH PARTNERS LLC-BAYLOR SCOTT &amp; WHITE MEDICAL CENTER UPTOWN</t>
  </si>
  <si>
    <t>NAVARRO HOSPITAL LP-NAVARRO REGIONAL HOSPITAL</t>
  </si>
  <si>
    <t>NORTH HOUSTON TRMC LLC-HCA HOUSTON HEALTHCARE TOMBALL</t>
  </si>
  <si>
    <t>NORTH TEXAS - MCA, LLC-MEDICAL CITY ALLIANCE</t>
  </si>
  <si>
    <t>OCHILTREE HOSPITAL DISTRICT-OCHILTREE GENERAL HOSPITAL</t>
  </si>
  <si>
    <t>OLNEY HAMILTON HOSPITAL DISTRICT-HAMILTON HOSPITAL</t>
  </si>
  <si>
    <t>PAM SQUARED AT CORPUS CHRISTI LLC-PAM SPECIALTY HOSPITAL AT CORPUS CHRISTI NORTH</t>
  </si>
  <si>
    <t>PARMER COUNTY COMMUNITY HOSPITAL-PARMER MEDICAL CENTER</t>
  </si>
  <si>
    <t>PINEY WOODS HEALTHCARE SYSTEM LP-WOODLAND HEIGHTS MEDICAL CENTER</t>
  </si>
  <si>
    <t>SAN JACINTO METHODIST HOSPITAL-HOUSTON METHODIST BAYTOWN HOSPITAL</t>
  </si>
  <si>
    <t>SANA HEALTHCARE CARROLLTON-CARROLLTON REGIONAL MEDICAL CENTER</t>
  </si>
  <si>
    <t>SCOTT &amp; WHITE HOSPITAL - TAYLOR-BAYLOR SCOTT &amp; WHITE MEDICAL CENTER -TAYLOR</t>
  </si>
  <si>
    <t>SCOTT AND WHITE MEMORIAL HOSPITAL-BAYLOR SCOTT AND WHITE MEDICAL CENTER TEMPLE</t>
  </si>
  <si>
    <t>SEMINOLE HOSPITAL DISTRICT OF GAINES COUNTY TEXAS-MEMORIAL HOSPITAL</t>
  </si>
  <si>
    <t>SETON HEALTHCARE-DELL CHILDRENS MEDICAL CENTER OF CENTRAL TEXAS</t>
  </si>
  <si>
    <t>SHRINERS HOSPITALS FOR CHILDREN</t>
  </si>
  <si>
    <t>SJ MEDICAL CENTER LLC-ST JOSEPH MEDICAL CENTER</t>
  </si>
  <si>
    <t>SOUTHWEST GENERAL HOSPITAL LP-TEXAS VISTA MEDICAL CENTER</t>
  </si>
  <si>
    <t>SPECIALTY HOSPITAL LLC-UT HEALTH EAST TEXAS SPECIALTY HOSPITAL</t>
  </si>
  <si>
    <t>ST JOSEPH REGIONAL HEALTH CENTER-CHI ST JOSEPH REGIONAL HOSPITAL</t>
  </si>
  <si>
    <t>ST LUKES COMMUNITY DEVELOPMENT CORPORATION SUGAR-ST. LUKE'S SUGAR LAND HOSPITAL</t>
  </si>
  <si>
    <t>ST LUKES HOSPITAL AT THE VINTAGE-</t>
  </si>
  <si>
    <t>STARR COUNTY HOSPITAL DISTRICT-STARR COUNTY MEMORIAL HOSPITAL</t>
  </si>
  <si>
    <t>STEPHENS MEMORIAL HOSPITAL DISTRICT-STEPHENS MEMORIAL HOSPITAL</t>
  </si>
  <si>
    <t>SUTTON COUNTY HOSPITAL DISTRICT-LILLIAN M HUDSPETH MEMORIAL HOSPITAL</t>
  </si>
  <si>
    <t>SWEENY HOSPITAL DISTRICT-SWEENY COMMUNITY HOSPITAL</t>
  </si>
  <si>
    <t>TEXAS HEALTH HARRIS METHODIST HOSPITAL HURST EULES-</t>
  </si>
  <si>
    <t xml:space="preserve">TEXAS HEALTH HOSPITAL MANSFIELD-                                                  </t>
  </si>
  <si>
    <t>TEXAS SCOTTISH RITE HOSPITAL FOR CRIPPLED CHILDREN</t>
  </si>
  <si>
    <t>THE METHODIST HOSPITAL-HOUSTON METHODIST HOSPITAL</t>
  </si>
  <si>
    <t>TRANSITIONAL HOSPITALS CORPORATION OF TEXAS LLC-KINDRED HOSPITAL- TARRANT COUNTY</t>
  </si>
  <si>
    <t>TYLER COUNTY HOSPITAL DISTRICT-TYLER COUNTY HOSPITAL</t>
  </si>
  <si>
    <t>UNIVERSITY OF TEXAS HELATH SCIENCE CENTER AT TYLER</t>
  </si>
  <si>
    <t>UNIVERSITY OF TEXAS MD ANDERSON CANCER CENTER</t>
  </si>
  <si>
    <t>UNIVERSITY OF TEXAS MEDICAL BRANCH AT DALLAS</t>
  </si>
  <si>
    <t>VHS HARLINGEN HOSPITAL COMPANY LLC-VALLEY BAPTIST MEDICAL CENTER</t>
  </si>
  <si>
    <t>VICTORIA OF TEXAS LP-DETAR HEALTHCARE SYSTEM</t>
  </si>
  <si>
    <t>VISTA COMMUNITY MEDICAL CENTER LLP-SURGERY SPECIALTY HOSPITAL OF AMERICA SE HOUSTON</t>
  </si>
  <si>
    <t>ALTUS HOUSTON HOSPITAL LP-ALTUS HOUSTON HOSPITAL</t>
  </si>
  <si>
    <t>MESA HILLS SPECIALTY HOSPITAL OPERATOR, LLC-MESA HILLS SPECIALTY HOSPITAL</t>
  </si>
  <si>
    <t xml:space="preserve">NORTH HOUSTON SURGICAL HOSPITAL LLC-                                                  </t>
  </si>
  <si>
    <t>y</t>
  </si>
  <si>
    <t xml:space="preserve">WOODLANDS SPECIALTY HOSPITAL-WOODLANDS SPECIALTY HOSPITAL LLC                  </t>
  </si>
  <si>
    <t>2023 IP UPL Gap</t>
  </si>
  <si>
    <t>2023 OP UPL Gap</t>
  </si>
  <si>
    <t>5.11.2023 Updated with 2023 Adjusted UPL</t>
  </si>
  <si>
    <t>PGY 7 IP Encounters</t>
  </si>
  <si>
    <t>Comprehensive Hospital Increase Reimbursement Program for FY 2024 Preliminary Modeling</t>
  </si>
  <si>
    <t>PGY 7 Encounters</t>
  </si>
  <si>
    <t>Medicaid  Charges</t>
  </si>
  <si>
    <t>FY24 CHIRP Enrollment Working File</t>
  </si>
  <si>
    <t>2023 UPLs without UHRIP</t>
  </si>
  <si>
    <t>FY 2023 SDA Rate File</t>
  </si>
  <si>
    <t>PGY 7 OP Encounters</t>
  </si>
  <si>
    <t>SFY24 IP Encounters STAR and STAR Plus</t>
  </si>
  <si>
    <t>SFY24 AA OP Encounters STAR and STAR Plus</t>
  </si>
  <si>
    <t>Total SFY24 AA Encounters</t>
  </si>
  <si>
    <t>Hospital Projected Payment</t>
  </si>
  <si>
    <t>Total Hospital Projected Payment Plus MCO Fees</t>
  </si>
  <si>
    <t>Total ACIA Projected Payment</t>
  </si>
  <si>
    <t>Total UHRIP Projected Payment</t>
  </si>
  <si>
    <t>3.22.2023 Added enrolled providers to calculation, tab "CHIRP Payment Calc".</t>
  </si>
  <si>
    <t>SFY24 Actuarial Trended Estimates</t>
  </si>
  <si>
    <t>5.31.2023 Corrected LaVaca Hospital District ACR data.</t>
  </si>
  <si>
    <t>437483703</t>
  </si>
  <si>
    <t>06.08.2023 Corrected Andrews County Hospital District ACR data.</t>
  </si>
  <si>
    <t>06.01.2023 Manually corrected master TPI and NPI for Lion Star Nacogdoches (Nacogdoches Co. HD).</t>
  </si>
  <si>
    <t>Red tabs are used in Preprint responses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</si>
</sst>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_(&quot;$&quot;* #,##0_);_(&quot;$&quot;* \(#,##0\);_(&quot;$&quot;* &quot;-&quot;??_);_(@_)"/>
  </numFmts>
  <fonts count="32"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ArialMT"/>
      <family val="2"/>
    </font>
    <font>
      <sz val="10"/>
      <name val="Arial"/>
      <family val="2"/>
    </font>
    <font>
      <b/>
      <sz val="12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sz val="9"/>
      <color rgb="FF333333"/>
      <name val="Verdana"/>
      <family val="2"/>
    </font>
    <font>
      <b/>
      <sz val="10"/>
      <color rgb="FF000000"/>
      <name val="Verdana"/>
      <family val="2"/>
    </font>
    <font>
      <sz val="9"/>
      <color rgb="FF000000"/>
      <name val="Verdana"/>
      <family val="2"/>
    </font>
    <font>
      <b/>
      <sz val="9"/>
      <color rgb="FF333333"/>
      <name val="Verdana"/>
      <family val="2"/>
    </font>
    <font>
      <b/>
      <u/>
      <sz val="14"/>
      <color theme="1"/>
      <name val="Verdana"/>
      <family val="2"/>
    </font>
    <font>
      <b/>
      <sz val="9"/>
      <color theme="1"/>
      <name val="Arial"/>
      <family val="2"/>
    </font>
    <font>
      <sz val="8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u/>
      <sz val="12"/>
      <color theme="10"/>
      <name val="Verdana"/>
      <family val="2"/>
    </font>
    <font>
      <sz val="10"/>
      <color rgb="FF000000"/>
      <name val="Arial"/>
      <family val="2"/>
    </font>
    <font>
      <sz val="12"/>
      <color theme="0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rgb="FF43D6D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26B8FA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00">
    <xf numFmtId="0" fontId="0" fillId="0" borderId="0"/>
    <xf numFmtId="0" fontId="2" fillId="0" borderId="0"/>
    <xf numFmtId="0" fontId="3" fillId="0" borderId="0"/>
    <xf numFmtId="44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3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0" borderId="0"/>
    <xf numFmtId="4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9" fillId="0" borderId="0"/>
    <xf numFmtId="0" fontId="9" fillId="7" borderId="12" applyNumberFormat="0" applyFont="0" applyAlignment="0" applyProtection="0"/>
    <xf numFmtId="44" fontId="9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0" fontId="11" fillId="0" borderId="0"/>
    <xf numFmtId="43" fontId="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1" fillId="0" borderId="0"/>
    <xf numFmtId="9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0" borderId="0"/>
    <xf numFmtId="44" fontId="6" fillId="0" borderId="0" applyFont="0" applyFill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/>
    <xf numFmtId="0" fontId="1" fillId="11" borderId="0" applyNumberFormat="0" applyBorder="0" applyAlignment="0" applyProtection="0"/>
    <xf numFmtId="44" fontId="5" fillId="0" borderId="0" applyFont="0" applyFill="0" applyBorder="0" applyAlignment="0" applyProtection="0"/>
    <xf numFmtId="0" fontId="11" fillId="0" borderId="0"/>
    <xf numFmtId="0" fontId="5" fillId="7" borderId="12" applyNumberFormat="0" applyFont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/>
    <xf numFmtId="44" fontId="2" fillId="0" borderId="0" applyFont="0" applyFill="0" applyBorder="0" applyAlignment="0" applyProtection="0"/>
    <xf numFmtId="0" fontId="1" fillId="0" borderId="0"/>
  </cellStyleXfs>
  <cellXfs count="210">
    <xf numFmtId="0" fontId="0" fillId="0" borderId="0" xfId="0"/>
    <xf numFmtId="0" fontId="10" fillId="0" borderId="0" xfId="0" applyFont="1"/>
    <xf numFmtId="37" fontId="0" fillId="0" borderId="0" xfId="0" applyNumberFormat="1"/>
    <xf numFmtId="37" fontId="0" fillId="0" borderId="0" xfId="48" applyNumberFormat="1" applyFont="1"/>
    <xf numFmtId="49" fontId="0" fillId="0" borderId="0" xfId="0" applyNumberFormat="1"/>
    <xf numFmtId="49" fontId="10" fillId="0" borderId="0" xfId="0" applyNumberFormat="1" applyFont="1"/>
    <xf numFmtId="43" fontId="0" fillId="0" borderId="0" xfId="48" applyFont="1"/>
    <xf numFmtId="0" fontId="0" fillId="0" borderId="0" xfId="0" applyAlignment="1">
      <alignment wrapText="1"/>
    </xf>
    <xf numFmtId="166" fontId="0" fillId="0" borderId="0" xfId="48" applyNumberFormat="1" applyFont="1"/>
    <xf numFmtId="0" fontId="0" fillId="0" borderId="0" xfId="0"/>
    <xf numFmtId="9" fontId="0" fillId="0" borderId="0" xfId="45" applyFont="1"/>
    <xf numFmtId="0" fontId="0" fillId="0" borderId="0" xfId="0" applyFill="1"/>
    <xf numFmtId="0" fontId="10" fillId="0" borderId="0" xfId="0" applyNumberFormat="1" applyFont="1"/>
    <xf numFmtId="0" fontId="10" fillId="0" borderId="0" xfId="0" applyFont="1" applyFill="1" applyAlignment="1">
      <alignment horizontal="center"/>
    </xf>
    <xf numFmtId="0" fontId="0" fillId="0" borderId="0" xfId="0" applyNumberFormat="1"/>
    <xf numFmtId="0" fontId="0" fillId="5" borderId="0" xfId="0" applyFill="1"/>
    <xf numFmtId="0" fontId="10" fillId="5" borderId="0" xfId="0" applyFont="1" applyFill="1" applyAlignment="1">
      <alignment wrapText="1"/>
    </xf>
    <xf numFmtId="0" fontId="10" fillId="5" borderId="0" xfId="0" applyFont="1" applyFill="1" applyAlignment="1">
      <alignment horizontal="center" wrapText="1"/>
    </xf>
    <xf numFmtId="0" fontId="16" fillId="0" borderId="0" xfId="87"/>
    <xf numFmtId="166" fontId="16" fillId="0" borderId="0" xfId="48" applyNumberFormat="1" applyFont="1"/>
    <xf numFmtId="0" fontId="16" fillId="0" borderId="0" xfId="87" applyAlignment="1">
      <alignment wrapText="1"/>
    </xf>
    <xf numFmtId="9" fontId="0" fillId="0" borderId="0" xfId="45" applyFont="1" applyBorder="1"/>
    <xf numFmtId="9" fontId="0" fillId="0" borderId="13" xfId="45" applyFont="1" applyBorder="1"/>
    <xf numFmtId="166" fontId="0" fillId="0" borderId="6" xfId="48" applyNumberFormat="1" applyFont="1" applyBorder="1"/>
    <xf numFmtId="0" fontId="0" fillId="0" borderId="5" xfId="0" applyBorder="1"/>
    <xf numFmtId="0" fontId="0" fillId="0" borderId="7" xfId="0" applyBorder="1"/>
    <xf numFmtId="166" fontId="0" fillId="0" borderId="1" xfId="48" applyNumberFormat="1" applyFont="1" applyBorder="1"/>
    <xf numFmtId="0" fontId="10" fillId="0" borderId="20" xfId="0" applyFont="1" applyBorder="1"/>
    <xf numFmtId="166" fontId="10" fillId="0" borderId="14" xfId="48" applyNumberFormat="1" applyFont="1" applyBorder="1"/>
    <xf numFmtId="0" fontId="17" fillId="0" borderId="0" xfId="0" applyFont="1"/>
    <xf numFmtId="0" fontId="17" fillId="0" borderId="0" xfId="0" applyFont="1" applyFill="1" applyBorder="1"/>
    <xf numFmtId="2" fontId="20" fillId="0" borderId="6" xfId="1" applyNumberFormat="1" applyFont="1" applyBorder="1" applyAlignment="1">
      <alignment horizontal="left"/>
    </xf>
    <xf numFmtId="0" fontId="21" fillId="0" borderId="20" xfId="1" applyFont="1" applyFill="1" applyBorder="1" applyAlignment="1">
      <alignment wrapText="1"/>
    </xf>
    <xf numFmtId="0" fontId="21" fillId="0" borderId="14" xfId="1" applyFont="1" applyFill="1" applyBorder="1" applyAlignment="1">
      <alignment wrapText="1"/>
    </xf>
    <xf numFmtId="49" fontId="10" fillId="6" borderId="3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wrapText="1"/>
    </xf>
    <xf numFmtId="0" fontId="1" fillId="0" borderId="0" xfId="0" applyFont="1" applyFill="1" applyBorder="1"/>
    <xf numFmtId="0" fontId="18" fillId="0" borderId="0" xfId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9" fontId="1" fillId="0" borderId="0" xfId="45" applyFont="1" applyFill="1" applyBorder="1" applyAlignment="1">
      <alignment horizontal="right"/>
    </xf>
    <xf numFmtId="44" fontId="1" fillId="0" borderId="0" xfId="59" applyFont="1" applyFill="1" applyBorder="1" applyAlignment="1">
      <alignment horizontal="right"/>
    </xf>
    <xf numFmtId="0" fontId="10" fillId="0" borderId="0" xfId="0" applyFont="1" applyFill="1" applyBorder="1"/>
    <xf numFmtId="0" fontId="20" fillId="0" borderId="6" xfId="1" applyNumberFormat="1" applyFont="1" applyBorder="1" applyAlignment="1">
      <alignment horizontal="left" wrapText="1"/>
    </xf>
    <xf numFmtId="0" fontId="20" fillId="0" borderId="6" xfId="1" applyNumberFormat="1" applyFont="1" applyFill="1" applyBorder="1" applyAlignment="1">
      <alignment horizontal="left" wrapText="1"/>
    </xf>
    <xf numFmtId="165" fontId="20" fillId="0" borderId="6" xfId="1" applyNumberFormat="1" applyFont="1" applyBorder="1" applyAlignment="1">
      <alignment horizontal="right"/>
    </xf>
    <xf numFmtId="164" fontId="20" fillId="0" borderId="6" xfId="1" applyNumberFormat="1" applyFont="1" applyBorder="1" applyAlignment="1">
      <alignment horizontal="right"/>
    </xf>
    <xf numFmtId="9" fontId="20" fillId="0" borderId="6" xfId="45" applyFont="1" applyBorder="1" applyAlignment="1">
      <alignment horizontal="right"/>
    </xf>
    <xf numFmtId="49" fontId="20" fillId="0" borderId="6" xfId="1" applyNumberFormat="1" applyFont="1" applyFill="1" applyBorder="1" applyAlignment="1">
      <alignment horizontal="left" wrapText="1"/>
    </xf>
    <xf numFmtId="49" fontId="19" fillId="4" borderId="3" xfId="1" applyNumberFormat="1" applyFont="1" applyFill="1" applyBorder="1" applyAlignment="1">
      <alignment horizontal="center" vertical="center" wrapText="1"/>
    </xf>
    <xf numFmtId="49" fontId="19" fillId="4" borderId="4" xfId="1" applyNumberFormat="1" applyFont="1" applyFill="1" applyBorder="1" applyAlignment="1">
      <alignment horizontal="center" vertical="center" wrapText="1"/>
    </xf>
    <xf numFmtId="164" fontId="19" fillId="9" borderId="4" xfId="1" applyNumberFormat="1" applyFont="1" applyFill="1" applyBorder="1" applyAlignment="1">
      <alignment horizontal="center" vertical="center" wrapText="1"/>
    </xf>
    <xf numFmtId="164" fontId="19" fillId="8" borderId="4" xfId="1" applyNumberFormat="1" applyFont="1" applyFill="1" applyBorder="1" applyAlignment="1">
      <alignment horizontal="center" vertical="center" wrapText="1"/>
    </xf>
    <xf numFmtId="164" fontId="19" fillId="10" borderId="4" xfId="1" applyNumberFormat="1" applyFont="1" applyFill="1" applyBorder="1" applyAlignment="1">
      <alignment horizontal="center" vertical="center" wrapText="1"/>
    </xf>
    <xf numFmtId="0" fontId="10" fillId="0" borderId="14" xfId="0" applyFont="1" applyFill="1" applyBorder="1"/>
    <xf numFmtId="0" fontId="21" fillId="0" borderId="14" xfId="1" applyFont="1" applyFill="1" applyBorder="1"/>
    <xf numFmtId="165" fontId="23" fillId="0" borderId="14" xfId="1" applyNumberFormat="1" applyFont="1" applyBorder="1" applyAlignment="1">
      <alignment horizontal="right"/>
    </xf>
    <xf numFmtId="9" fontId="23" fillId="0" borderId="14" xfId="45" applyFont="1" applyBorder="1" applyAlignment="1">
      <alignment horizontal="right"/>
    </xf>
    <xf numFmtId="167" fontId="0" fillId="0" borderId="1" xfId="59" applyNumberFormat="1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9" xfId="0" applyFont="1" applyBorder="1" applyAlignment="1">
      <alignment wrapText="1"/>
    </xf>
    <xf numFmtId="166" fontId="10" fillId="0" borderId="9" xfId="0" applyNumberFormat="1" applyFont="1" applyBorder="1"/>
    <xf numFmtId="49" fontId="10" fillId="6" borderId="5" xfId="1" applyNumberFormat="1" applyFont="1" applyFill="1" applyBorder="1" applyAlignment="1">
      <alignment horizontal="center" vertical="center" wrapText="1"/>
    </xf>
    <xf numFmtId="49" fontId="10" fillId="6" borderId="6" xfId="1" applyNumberFormat="1" applyFont="1" applyFill="1" applyBorder="1" applyAlignment="1">
      <alignment horizontal="center" vertical="center" wrapText="1"/>
    </xf>
    <xf numFmtId="49" fontId="10" fillId="6" borderId="17" xfId="1" applyNumberFormat="1" applyFont="1" applyFill="1" applyBorder="1" applyAlignment="1">
      <alignment horizontal="center" vertical="center" wrapText="1"/>
    </xf>
    <xf numFmtId="49" fontId="10" fillId="6" borderId="22" xfId="1" applyNumberFormat="1" applyFont="1" applyFill="1" applyBorder="1" applyAlignment="1">
      <alignment horizontal="center" vertical="center" wrapText="1"/>
    </xf>
    <xf numFmtId="0" fontId="17" fillId="0" borderId="0" xfId="0" applyFont="1" applyAlignment="1"/>
    <xf numFmtId="9" fontId="0" fillId="0" borderId="17" xfId="45" applyFont="1" applyBorder="1"/>
    <xf numFmtId="9" fontId="0" fillId="0" borderId="18" xfId="45" applyFont="1" applyBorder="1"/>
    <xf numFmtId="0" fontId="24" fillId="0" borderId="0" xfId="0" applyFont="1"/>
    <xf numFmtId="167" fontId="0" fillId="0" borderId="6" xfId="59" applyNumberFormat="1" applyFont="1" applyFill="1" applyBorder="1"/>
    <xf numFmtId="165" fontId="20" fillId="0" borderId="4" xfId="1" applyNumberFormat="1" applyFont="1" applyBorder="1" applyAlignment="1">
      <alignment horizontal="right"/>
    </xf>
    <xf numFmtId="165" fontId="20" fillId="0" borderId="19" xfId="1" applyNumberFormat="1" applyFont="1" applyBorder="1" applyAlignment="1">
      <alignment horizontal="right"/>
    </xf>
    <xf numFmtId="164" fontId="25" fillId="5" borderId="6" xfId="1" applyNumberFormat="1" applyFont="1" applyFill="1" applyBorder="1" applyAlignment="1">
      <alignment horizontal="center" vertical="center" wrapText="1"/>
    </xf>
    <xf numFmtId="0" fontId="0" fillId="0" borderId="23" xfId="0" applyBorder="1"/>
    <xf numFmtId="166" fontId="0" fillId="0" borderId="23" xfId="48" applyNumberFormat="1" applyFont="1" applyBorder="1"/>
    <xf numFmtId="9" fontId="0" fillId="0" borderId="23" xfId="45" applyFont="1" applyBorder="1"/>
    <xf numFmtId="166" fontId="0" fillId="0" borderId="23" xfId="0" applyNumberFormat="1" applyBorder="1"/>
    <xf numFmtId="166" fontId="10" fillId="0" borderId="21" xfId="48" applyNumberFormat="1" applyFont="1" applyBorder="1"/>
    <xf numFmtId="0" fontId="0" fillId="0" borderId="24" xfId="0" applyBorder="1"/>
    <xf numFmtId="166" fontId="0" fillId="0" borderId="7" xfId="48" applyNumberFormat="1" applyFont="1" applyBorder="1"/>
    <xf numFmtId="0" fontId="0" fillId="0" borderId="25" xfId="0" applyBorder="1"/>
    <xf numFmtId="49" fontId="10" fillId="12" borderId="3" xfId="1" applyNumberFormat="1" applyFont="1" applyFill="1" applyBorder="1" applyAlignment="1">
      <alignment horizontal="center" vertical="center" wrapText="1"/>
    </xf>
    <xf numFmtId="164" fontId="19" fillId="12" borderId="4" xfId="1" applyNumberFormat="1" applyFont="1" applyFill="1" applyBorder="1" applyAlignment="1">
      <alignment horizontal="center" vertical="center" wrapText="1"/>
    </xf>
    <xf numFmtId="167" fontId="20" fillId="0" borderId="6" xfId="59" applyNumberFormat="1" applyFont="1" applyBorder="1" applyAlignment="1">
      <alignment horizontal="right"/>
    </xf>
    <xf numFmtId="9" fontId="20" fillId="0" borderId="6" xfId="45" applyNumberFormat="1" applyFont="1" applyBorder="1" applyAlignment="1">
      <alignment horizontal="right"/>
    </xf>
    <xf numFmtId="166" fontId="20" fillId="0" borderId="6" xfId="48" applyNumberFormat="1" applyFont="1" applyBorder="1" applyAlignment="1">
      <alignment horizontal="right"/>
    </xf>
    <xf numFmtId="0" fontId="0" fillId="0" borderId="0" xfId="0" quotePrefix="1"/>
    <xf numFmtId="10" fontId="1" fillId="0" borderId="0" xfId="59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166" fontId="0" fillId="0" borderId="0" xfId="48" applyNumberFormat="1" applyFont="1" applyAlignment="1">
      <alignment wrapText="1"/>
    </xf>
    <xf numFmtId="0" fontId="0" fillId="0" borderId="11" xfId="0" applyBorder="1"/>
    <xf numFmtId="164" fontId="25" fillId="5" borderId="26" xfId="1" applyNumberFormat="1" applyFont="1" applyFill="1" applyBorder="1" applyAlignment="1">
      <alignment horizontal="center" vertical="center" wrapText="1"/>
    </xf>
    <xf numFmtId="165" fontId="20" fillId="0" borderId="15" xfId="1" applyNumberFormat="1" applyFont="1" applyBorder="1" applyAlignment="1">
      <alignment horizontal="right"/>
    </xf>
    <xf numFmtId="0" fontId="0" fillId="0" borderId="8" xfId="0" applyBorder="1"/>
    <xf numFmtId="0" fontId="10" fillId="0" borderId="16" xfId="0" applyFont="1" applyBorder="1"/>
    <xf numFmtId="0" fontId="10" fillId="0" borderId="7" xfId="0" applyFont="1" applyBorder="1" applyAlignment="1">
      <alignment horizontal="left"/>
    </xf>
    <xf numFmtId="9" fontId="10" fillId="0" borderId="1" xfId="0" applyNumberFormat="1" applyFont="1" applyBorder="1" applyAlignment="1">
      <alignment horizontal="right"/>
    </xf>
    <xf numFmtId="167" fontId="10" fillId="0" borderId="1" xfId="59" applyNumberFormat="1" applyFont="1" applyBorder="1" applyAlignment="1">
      <alignment horizontal="right"/>
    </xf>
    <xf numFmtId="167" fontId="10" fillId="0" borderId="18" xfId="59" applyNumberFormat="1" applyFont="1" applyBorder="1" applyAlignment="1">
      <alignment horizontal="right"/>
    </xf>
    <xf numFmtId="0" fontId="0" fillId="0" borderId="3" xfId="0" applyBorder="1" applyAlignment="1">
      <alignment horizontal="left" indent="1"/>
    </xf>
    <xf numFmtId="10" fontId="0" fillId="0" borderId="4" xfId="45" applyNumberFormat="1" applyFont="1" applyBorder="1"/>
    <xf numFmtId="167" fontId="0" fillId="0" borderId="4" xfId="59" applyNumberFormat="1" applyFont="1" applyBorder="1"/>
    <xf numFmtId="167" fontId="0" fillId="0" borderId="19" xfId="59" applyNumberFormat="1" applyFont="1" applyBorder="1"/>
    <xf numFmtId="0" fontId="0" fillId="0" borderId="7" xfId="0" applyBorder="1" applyAlignment="1">
      <alignment horizontal="left" indent="1"/>
    </xf>
    <xf numFmtId="10" fontId="0" fillId="0" borderId="1" xfId="45" applyNumberFormat="1" applyFont="1" applyBorder="1"/>
    <xf numFmtId="167" fontId="0" fillId="0" borderId="18" xfId="59" applyNumberFormat="1" applyFont="1" applyBorder="1"/>
    <xf numFmtId="0" fontId="17" fillId="0" borderId="0" xfId="0" applyFont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17" fillId="0" borderId="0" xfId="0" quotePrefix="1" applyFont="1"/>
    <xf numFmtId="166" fontId="27" fillId="0" borderId="0" xfId="0" applyNumberFormat="1" applyFont="1" applyAlignment="1">
      <alignment wrapText="1"/>
    </xf>
    <xf numFmtId="166" fontId="10" fillId="0" borderId="14" xfId="48" applyNumberFormat="1" applyFont="1" applyFill="1" applyBorder="1"/>
    <xf numFmtId="165" fontId="23" fillId="0" borderId="14" xfId="1" applyNumberFormat="1" applyFont="1" applyFill="1" applyBorder="1" applyAlignment="1">
      <alignment horizontal="right"/>
    </xf>
    <xf numFmtId="0" fontId="0" fillId="0" borderId="23" xfId="0" applyFill="1" applyBorder="1"/>
    <xf numFmtId="166" fontId="0" fillId="0" borderId="23" xfId="48" applyNumberFormat="1" applyFont="1" applyFill="1" applyBorder="1"/>
    <xf numFmtId="166" fontId="0" fillId="0" borderId="23" xfId="0" applyNumberFormat="1" applyFill="1" applyBorder="1"/>
    <xf numFmtId="0" fontId="0" fillId="0" borderId="24" xfId="0" applyFill="1" applyBorder="1"/>
    <xf numFmtId="9" fontId="0" fillId="0" borderId="7" xfId="45" applyFont="1" applyBorder="1"/>
    <xf numFmtId="0" fontId="18" fillId="0" borderId="6" xfId="1" applyFont="1" applyFill="1" applyBorder="1" applyAlignment="1">
      <alignment wrapText="1"/>
    </xf>
    <xf numFmtId="165" fontId="23" fillId="5" borderId="14" xfId="1" applyNumberFormat="1" applyFont="1" applyFill="1" applyBorder="1" applyAlignment="1">
      <alignment horizontal="right"/>
    </xf>
    <xf numFmtId="167" fontId="28" fillId="0" borderId="0" xfId="59" applyNumberFormat="1" applyFont="1" applyFill="1" applyBorder="1" applyAlignment="1">
      <alignment horizontal="right"/>
    </xf>
    <xf numFmtId="0" fontId="0" fillId="0" borderId="16" xfId="0" applyBorder="1"/>
    <xf numFmtId="2" fontId="20" fillId="0" borderId="6" xfId="1" applyNumberFormat="1" applyFont="1" applyFill="1" applyBorder="1" applyAlignment="1">
      <alignment horizontal="left"/>
    </xf>
    <xf numFmtId="0" fontId="10" fillId="13" borderId="9" xfId="0" applyFont="1" applyFill="1" applyBorder="1" applyAlignment="1">
      <alignment wrapText="1"/>
    </xf>
    <xf numFmtId="0" fontId="10" fillId="0" borderId="0" xfId="88" applyFont="1" applyFill="1" applyBorder="1" applyAlignment="1">
      <alignment wrapText="1"/>
    </xf>
    <xf numFmtId="9" fontId="0" fillId="0" borderId="6" xfId="45" applyFont="1" applyFill="1" applyBorder="1"/>
    <xf numFmtId="0" fontId="10" fillId="12" borderId="9" xfId="0" applyFont="1" applyFill="1" applyBorder="1" applyAlignment="1">
      <alignment wrapText="1"/>
    </xf>
    <xf numFmtId="164" fontId="19" fillId="5" borderId="4" xfId="1" applyNumberFormat="1" applyFont="1" applyFill="1" applyBorder="1" applyAlignment="1">
      <alignment horizontal="center" vertical="center" wrapText="1"/>
    </xf>
    <xf numFmtId="165" fontId="1" fillId="0" borderId="0" xfId="59" applyNumberFormat="1" applyFont="1" applyFill="1" applyBorder="1" applyAlignment="1">
      <alignment horizontal="right"/>
    </xf>
    <xf numFmtId="0" fontId="10" fillId="12" borderId="16" xfId="0" applyFont="1" applyFill="1" applyBorder="1" applyAlignment="1">
      <alignment wrapText="1"/>
    </xf>
    <xf numFmtId="9" fontId="0" fillId="0" borderId="17" xfId="45" applyFont="1" applyFill="1" applyBorder="1"/>
    <xf numFmtId="9" fontId="0" fillId="0" borderId="1" xfId="45" applyFont="1" applyFill="1" applyBorder="1"/>
    <xf numFmtId="9" fontId="0" fillId="0" borderId="18" xfId="45" applyFont="1" applyFill="1" applyBorder="1"/>
    <xf numFmtId="43" fontId="0" fillId="0" borderId="0" xfId="48" applyNumberFormat="1" applyFont="1"/>
    <xf numFmtId="0" fontId="0" fillId="14" borderId="0" xfId="0" applyFill="1"/>
    <xf numFmtId="49" fontId="19" fillId="14" borderId="4" xfId="1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wrapText="1"/>
    </xf>
    <xf numFmtId="164" fontId="19" fillId="14" borderId="4" xfId="1" applyNumberFormat="1" applyFont="1" applyFill="1" applyBorder="1" applyAlignment="1">
      <alignment horizontal="center" vertical="center" wrapText="1"/>
    </xf>
    <xf numFmtId="0" fontId="29" fillId="0" borderId="0" xfId="96"/>
    <xf numFmtId="0" fontId="0" fillId="15" borderId="6" xfId="0" applyFill="1" applyBorder="1" applyAlignment="1">
      <alignment wrapText="1"/>
    </xf>
    <xf numFmtId="0" fontId="0" fillId="15" borderId="6" xfId="0" applyFill="1" applyBorder="1"/>
    <xf numFmtId="164" fontId="25" fillId="5" borderId="9" xfId="1" applyNumberFormat="1" applyFont="1" applyFill="1" applyBorder="1" applyAlignment="1">
      <alignment horizontal="center" vertical="center" wrapText="1"/>
    </xf>
    <xf numFmtId="0" fontId="28" fillId="0" borderId="6" xfId="0" applyFont="1" applyBorder="1"/>
    <xf numFmtId="0" fontId="21" fillId="0" borderId="27" xfId="1" applyFont="1" applyFill="1" applyBorder="1" applyAlignment="1">
      <alignment wrapText="1"/>
    </xf>
    <xf numFmtId="49" fontId="19" fillId="4" borderId="6" xfId="1" applyNumberFormat="1" applyFont="1" applyFill="1" applyBorder="1" applyAlignment="1">
      <alignment horizontal="center" vertical="center" wrapText="1"/>
    </xf>
    <xf numFmtId="166" fontId="0" fillId="0" borderId="7" xfId="0" applyNumberFormat="1" applyBorder="1"/>
    <xf numFmtId="43" fontId="0" fillId="0" borderId="0" xfId="0" applyNumberFormat="1"/>
    <xf numFmtId="0" fontId="28" fillId="0" borderId="6" xfId="0" applyFont="1" applyFill="1" applyBorder="1"/>
    <xf numFmtId="0" fontId="22" fillId="0" borderId="6" xfId="1" applyFont="1" applyFill="1" applyBorder="1" applyAlignment="1">
      <alignment wrapText="1"/>
    </xf>
    <xf numFmtId="0" fontId="0" fillId="12" borderId="6" xfId="0" applyFill="1" applyBorder="1" applyAlignment="1">
      <alignment wrapText="1"/>
    </xf>
    <xf numFmtId="43" fontId="0" fillId="12" borderId="6" xfId="48" applyFont="1" applyFill="1" applyBorder="1" applyAlignment="1">
      <alignment wrapText="1"/>
    </xf>
    <xf numFmtId="0" fontId="10" fillId="0" borderId="28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10" fontId="0" fillId="0" borderId="0" xfId="0" applyNumberFormat="1"/>
    <xf numFmtId="3" fontId="0" fillId="0" borderId="2" xfId="0" applyNumberFormat="1" applyBorder="1"/>
    <xf numFmtId="3" fontId="0" fillId="0" borderId="0" xfId="0" applyNumberFormat="1"/>
    <xf numFmtId="3" fontId="0" fillId="0" borderId="10" xfId="0" applyNumberFormat="1" applyBorder="1"/>
    <xf numFmtId="10" fontId="10" fillId="0" borderId="0" xfId="0" applyNumberFormat="1" applyFont="1"/>
    <xf numFmtId="3" fontId="0" fillId="0" borderId="15" xfId="0" applyNumberFormat="1" applyBorder="1"/>
    <xf numFmtId="3" fontId="0" fillId="0" borderId="13" xfId="0" applyNumberFormat="1" applyBorder="1"/>
    <xf numFmtId="3" fontId="10" fillId="0" borderId="0" xfId="0" applyNumberFormat="1" applyFont="1"/>
    <xf numFmtId="9" fontId="10" fillId="0" borderId="0" xfId="0" applyNumberFormat="1" applyFont="1"/>
    <xf numFmtId="0" fontId="0" fillId="12" borderId="0" xfId="0" applyFill="1"/>
    <xf numFmtId="0" fontId="31" fillId="16" borderId="0" xfId="0" applyFont="1" applyFill="1" applyAlignment="1">
      <alignment wrapText="1"/>
    </xf>
    <xf numFmtId="0" fontId="31" fillId="17" borderId="0" xfId="0" applyFont="1" applyFill="1" applyAlignment="1">
      <alignment wrapText="1"/>
    </xf>
    <xf numFmtId="0" fontId="10" fillId="0" borderId="0" xfId="0" applyFont="1" applyAlignment="1">
      <alignment horizontal="center"/>
    </xf>
    <xf numFmtId="3" fontId="0" fillId="0" borderId="30" xfId="0" applyNumberFormat="1" applyBorder="1"/>
    <xf numFmtId="3" fontId="0" fillId="0" borderId="0" xfId="0" applyNumberFormat="1" applyBorder="1"/>
    <xf numFmtId="165" fontId="1" fillId="0" borderId="0" xfId="45" applyNumberFormat="1" applyFont="1" applyFill="1" applyBorder="1" applyAlignment="1">
      <alignment horizontal="right"/>
    </xf>
    <xf numFmtId="49" fontId="20" fillId="0" borderId="6" xfId="1" applyNumberFormat="1" applyFont="1" applyBorder="1" applyAlignment="1">
      <alignment horizontal="left"/>
    </xf>
    <xf numFmtId="49" fontId="20" fillId="0" borderId="6" xfId="1" applyNumberFormat="1" applyFont="1" applyBorder="1" applyAlignment="1">
      <alignment horizontal="left" wrapText="1"/>
    </xf>
    <xf numFmtId="49" fontId="22" fillId="0" borderId="6" xfId="1" applyNumberFormat="1" applyFont="1" applyFill="1" applyBorder="1" applyAlignment="1">
      <alignment wrapText="1"/>
    </xf>
    <xf numFmtId="0" fontId="22" fillId="18" borderId="31" xfId="5" applyFont="1" applyFill="1" applyBorder="1" applyAlignment="1">
      <alignment vertical="center"/>
    </xf>
    <xf numFmtId="0" fontId="10" fillId="0" borderId="10" xfId="0" applyFont="1" applyBorder="1" applyAlignment="1">
      <alignment horizontal="center" wrapText="1"/>
    </xf>
    <xf numFmtId="0" fontId="28" fillId="0" borderId="6" xfId="0" quotePrefix="1" applyFont="1" applyFill="1" applyBorder="1"/>
    <xf numFmtId="3" fontId="0" fillId="0" borderId="28" xfId="0" applyNumberFormat="1" applyBorder="1"/>
    <xf numFmtId="3" fontId="0" fillId="0" borderId="11" xfId="0" applyNumberFormat="1" applyBorder="1"/>
    <xf numFmtId="3" fontId="0" fillId="0" borderId="29" xfId="0" applyNumberFormat="1" applyBorder="1"/>
    <xf numFmtId="9" fontId="0" fillId="0" borderId="13" xfId="0" applyNumberFormat="1" applyBorder="1"/>
    <xf numFmtId="9" fontId="0" fillId="0" borderId="0" xfId="0" applyNumberFormat="1" applyBorder="1"/>
    <xf numFmtId="9" fontId="0" fillId="0" borderId="30" xfId="0" applyNumberFormat="1" applyBorder="1"/>
    <xf numFmtId="0" fontId="10" fillId="0" borderId="10" xfId="0" applyFont="1" applyBorder="1" applyAlignment="1">
      <alignment horizontal="centerContinuous"/>
    </xf>
    <xf numFmtId="166" fontId="0" fillId="0" borderId="9" xfId="48" applyNumberFormat="1" applyFont="1" applyBorder="1"/>
    <xf numFmtId="166" fontId="0" fillId="0" borderId="16" xfId="48" applyNumberFormat="1" applyFont="1" applyBorder="1"/>
    <xf numFmtId="166" fontId="0" fillId="0" borderId="0" xfId="48" applyNumberFormat="1" applyFont="1" applyFill="1" applyBorder="1"/>
    <xf numFmtId="166" fontId="0" fillId="12" borderId="6" xfId="48" applyNumberFormat="1" applyFont="1" applyFill="1" applyBorder="1"/>
    <xf numFmtId="166" fontId="0" fillId="12" borderId="17" xfId="48" applyNumberFormat="1" applyFont="1" applyFill="1" applyBorder="1"/>
    <xf numFmtId="166" fontId="0" fillId="15" borderId="1" xfId="48" applyNumberFormat="1" applyFont="1" applyFill="1" applyBorder="1" applyAlignment="1">
      <alignment wrapText="1"/>
    </xf>
    <xf numFmtId="166" fontId="0" fillId="15" borderId="18" xfId="48" applyNumberFormat="1" applyFont="1" applyFill="1" applyBorder="1"/>
    <xf numFmtId="166" fontId="0" fillId="0" borderId="0" xfId="48" applyNumberFormat="1" applyFont="1" applyFill="1" applyBorder="1" applyAlignment="1">
      <alignment wrapText="1"/>
    </xf>
    <xf numFmtId="166" fontId="0" fillId="15" borderId="6" xfId="48" applyNumberFormat="1" applyFont="1" applyFill="1" applyBorder="1" applyAlignment="1">
      <alignment wrapText="1"/>
    </xf>
    <xf numFmtId="44" fontId="0" fillId="0" borderId="0" xfId="0" applyNumberFormat="1"/>
    <xf numFmtId="44" fontId="0" fillId="0" borderId="0" xfId="59" applyFont="1"/>
    <xf numFmtId="44" fontId="0" fillId="15" borderId="6" xfId="59" applyFont="1" applyFill="1" applyBorder="1" applyAlignment="1">
      <alignment wrapText="1"/>
    </xf>
    <xf numFmtId="8" fontId="0" fillId="0" borderId="0" xfId="48" applyNumberFormat="1" applyFont="1"/>
    <xf numFmtId="6" fontId="0" fillId="0" borderId="0" xfId="0" applyNumberFormat="1" applyAlignment="1">
      <alignment wrapText="1"/>
    </xf>
    <xf numFmtId="0" fontId="29" fillId="0" borderId="0" xfId="96" applyFill="1"/>
    <xf numFmtId="49" fontId="28" fillId="0" borderId="6" xfId="0" applyNumberFormat="1" applyFont="1" applyFill="1" applyBorder="1"/>
    <xf numFmtId="0" fontId="20" fillId="0" borderId="6" xfId="1" quotePrefix="1" applyFont="1" applyFill="1" applyBorder="1" applyAlignment="1">
      <alignment horizontal="left"/>
    </xf>
    <xf numFmtId="0" fontId="10" fillId="0" borderId="0" xfId="0" applyFont="1" applyAlignment="1">
      <alignment horizontal="center"/>
    </xf>
  </cellXfs>
  <cellStyles count="100">
    <cellStyle name="20% - Accent3" xfId="88" builtinId="38"/>
    <cellStyle name="40% - Accent2 2" xfId="32" xr:uid="{00000000-0005-0000-0000-000000000000}"/>
    <cellStyle name="40% - Accent2 3" xfId="25" xr:uid="{00000000-0005-0000-0000-000001000000}"/>
    <cellStyle name="40% - Accent5 2" xfId="33" xr:uid="{00000000-0005-0000-0000-000003000000}"/>
    <cellStyle name="40% - Accent5 3" xfId="26" xr:uid="{00000000-0005-0000-0000-000004000000}"/>
    <cellStyle name="40% - Accent5 4" xfId="15" xr:uid="{00000000-0005-0000-0000-000032000000}"/>
    <cellStyle name="Comma" xfId="48" builtinId="3"/>
    <cellStyle name="Comma [0] 2" xfId="30" xr:uid="{00000000-0005-0000-0000-000006000000}"/>
    <cellStyle name="Comma 12 2" xfId="73" xr:uid="{00000000-0005-0000-0000-000007000000}"/>
    <cellStyle name="Comma 14" xfId="71" xr:uid="{00000000-0005-0000-0000-000008000000}"/>
    <cellStyle name="Comma 2" xfId="20" xr:uid="{00000000-0005-0000-0000-000007000000}"/>
    <cellStyle name="Comma 2 2" xfId="29" xr:uid="{00000000-0005-0000-0000-000008000000}"/>
    <cellStyle name="Comma 2 3" xfId="47" xr:uid="{3A48F811-8025-4BC2-8BBD-53B066854A84}"/>
    <cellStyle name="Comma 3" xfId="23" xr:uid="{00000000-0005-0000-0000-000009000000}"/>
    <cellStyle name="Comma 3 2" xfId="37" xr:uid="{00000000-0005-0000-0000-00000A000000}"/>
    <cellStyle name="Comma 4" xfId="40" xr:uid="{00000000-0005-0000-0000-00000B000000}"/>
    <cellStyle name="Comma 5" xfId="42" xr:uid="{00000000-0005-0000-0000-000035000000}"/>
    <cellStyle name="Comma 6" xfId="52" xr:uid="{E99AFBC6-F814-4130-AD7D-AE885D494441}"/>
    <cellStyle name="Comma 7" xfId="58" xr:uid="{4205392D-25FC-4546-B6F1-C658BC1F1384}"/>
    <cellStyle name="Comma 8" xfId="85" xr:uid="{26D964D9-D24D-4F0D-AB42-87E618A13769}"/>
    <cellStyle name="Comma 8 2" xfId="94" xr:uid="{20255198-D47A-4C9E-A872-D60A9B54BC01}"/>
    <cellStyle name="Currency" xfId="59" builtinId="4"/>
    <cellStyle name="Currency [0] 2" xfId="28" xr:uid="{00000000-0005-0000-0000-00000D000000}"/>
    <cellStyle name="Currency 10 10" xfId="7" xr:uid="{00000000-0005-0000-0000-00000E000000}"/>
    <cellStyle name="Currency 11 2 3" xfId="12" xr:uid="{00000000-0005-0000-0000-00000F000000}"/>
    <cellStyle name="Currency 2" xfId="10" xr:uid="{00000000-0005-0000-0000-000010000000}"/>
    <cellStyle name="Currency 2 10" xfId="14" xr:uid="{00000000-0005-0000-0000-000011000000}"/>
    <cellStyle name="Currency 2 2" xfId="64" xr:uid="{00000000-0005-0000-0000-000014000000}"/>
    <cellStyle name="Currency 2 3" xfId="89" xr:uid="{143E536D-D87C-4148-BE85-A1751BF5D074}"/>
    <cellStyle name="Currency 2 4" xfId="98" xr:uid="{E6E06CBA-5F90-4B11-81E8-3F575C9C8DD6}"/>
    <cellStyle name="Currency 23" xfId="78" xr:uid="{00000000-0005-0000-0000-000016000000}"/>
    <cellStyle name="Currency 3" xfId="3" xr:uid="{00000000-0005-0000-0000-00003C000000}"/>
    <cellStyle name="Currency 3 2" xfId="80" xr:uid="{00000000-0005-0000-0000-000018000000}"/>
    <cellStyle name="Currency 3 25" xfId="13" xr:uid="{00000000-0005-0000-0000-000012000000}"/>
    <cellStyle name="Currency 3 3" xfId="66" xr:uid="{00000000-0005-0000-0000-000017000000}"/>
    <cellStyle name="Currency 4" xfId="53" xr:uid="{8FA0C8C7-690C-49AB-9648-756DD3B76E74}"/>
    <cellStyle name="Currency 4 2" xfId="76" xr:uid="{00000000-0005-0000-0000-00001A000000}"/>
    <cellStyle name="Currency 5" xfId="86" xr:uid="{DA56D324-457C-470C-BFC0-B8E969C8F219}"/>
    <cellStyle name="Currency 5 2" xfId="95" xr:uid="{44206822-EFEF-47B4-9AC4-DEE9DBB8FA97}"/>
    <cellStyle name="Hyperlink" xfId="96" builtinId="8"/>
    <cellStyle name="Hyperlink 2" xfId="31" xr:uid="{00000000-0005-0000-0000-00001A000000}"/>
    <cellStyle name="Hyperlink 3" xfId="24" xr:uid="{00000000-0005-0000-0000-00001B000000}"/>
    <cellStyle name="Hyperlink 5" xfId="41" xr:uid="{00000000-0005-0000-0000-00001C000000}"/>
    <cellStyle name="Normal" xfId="0" builtinId="0"/>
    <cellStyle name="Normal 10" xfId="87" xr:uid="{F94B95F0-FFD0-45F7-9DE5-B5C5008F8CFD}"/>
    <cellStyle name="Normal 151" xfId="72" xr:uid="{00000000-0005-0000-0000-00001F000000}"/>
    <cellStyle name="Normal 2" xfId="1" xr:uid="{50C3D9A5-F899-4607-9E29-2897BFA33FB1}"/>
    <cellStyle name="Normal 2 11 3" xfId="74" xr:uid="{00000000-0005-0000-0000-000021000000}"/>
    <cellStyle name="Normal 2 2" xfId="5" xr:uid="{00000000-0005-0000-0000-00001F000000}"/>
    <cellStyle name="Normal 2 2 2" xfId="27" xr:uid="{00000000-0005-0000-0000-000020000000}"/>
    <cellStyle name="Normal 2 2 3" xfId="69" xr:uid="{00000000-0005-0000-0000-000022000000}"/>
    <cellStyle name="Normal 2 2 5" xfId="17" xr:uid="{00000000-0005-0000-0000-000021000000}"/>
    <cellStyle name="Normal 2 3" xfId="35" xr:uid="{00000000-0005-0000-0000-000022000000}"/>
    <cellStyle name="Normal 2 3 2" xfId="68" xr:uid="{00000000-0005-0000-0000-000025000000}"/>
    <cellStyle name="Normal 2 3 3" xfId="90" xr:uid="{B34DD2DA-D31B-4B03-9B94-C4545E39AFE9}"/>
    <cellStyle name="Normal 2 4" xfId="18" xr:uid="{00000000-0005-0000-0000-00001E000000}"/>
    <cellStyle name="Normal 2 5" xfId="46" xr:uid="{68EDE517-228D-46EB-B357-15169F807378}"/>
    <cellStyle name="Normal 2 6" xfId="81" xr:uid="{C258D477-25EC-4624-B431-85443C663073}"/>
    <cellStyle name="Normal 2 7" xfId="99" xr:uid="{7A31B902-C1B6-4C59-981C-015832697B5F}"/>
    <cellStyle name="Normal 3" xfId="21" xr:uid="{00000000-0005-0000-0000-000023000000}"/>
    <cellStyle name="Normal 3 2" xfId="38" xr:uid="{00000000-0005-0000-0000-000024000000}"/>
    <cellStyle name="Normal 3 2 2" xfId="61" xr:uid="{00000000-0005-0000-0000-000029000000}"/>
    <cellStyle name="Normal 3 3" xfId="49" xr:uid="{59E9F85D-80A7-4625-A739-AD3F109A52D7}"/>
    <cellStyle name="Normal 3 3 2" xfId="11" xr:uid="{00000000-0005-0000-0000-000025000000}"/>
    <cellStyle name="Normal 3 4" xfId="60" xr:uid="{00000000-0005-0000-0000-000028000000}"/>
    <cellStyle name="Normal 3 5" xfId="97" xr:uid="{40171DE9-51CB-457F-ACD6-BA064BD39738}"/>
    <cellStyle name="Normal 4" xfId="43" xr:uid="{00000000-0005-0000-0000-000026000000}"/>
    <cellStyle name="Normal 4 2" xfId="70" xr:uid="{00000000-0005-0000-0000-00002C000000}"/>
    <cellStyle name="Normal 4 3" xfId="82" xr:uid="{EEF32F37-6274-48F4-9FD4-271F6677F62A}"/>
    <cellStyle name="Normal 4 4" xfId="62" xr:uid="{00000000-0005-0000-0000-00002B000000}"/>
    <cellStyle name="Normal 5" xfId="44" xr:uid="{00000000-0005-0000-0000-000027000000}"/>
    <cellStyle name="Normal 5 2" xfId="79" xr:uid="{00000000-0005-0000-0000-00002E000000}"/>
    <cellStyle name="Normal 5 3" xfId="65" xr:uid="{00000000-0005-0000-0000-00002D000000}"/>
    <cellStyle name="Normal 6" xfId="2" xr:uid="{00000000-0005-0000-0000-000047000000}"/>
    <cellStyle name="Normal 6 2" xfId="54" xr:uid="{68F16885-062B-4573-92C1-E5374B91A43E}"/>
    <cellStyle name="Normal 6 3" xfId="92" xr:uid="{00000000-0005-0000-0000-00003D000000}"/>
    <cellStyle name="Normal 7" xfId="50" xr:uid="{43517783-DF34-41E6-A815-3D14BE163B46}"/>
    <cellStyle name="Normal 8" xfId="56" xr:uid="{9AE91A76-A9F1-4FF8-A9D2-B28148365998}"/>
    <cellStyle name="Normal 9" xfId="84" xr:uid="{DE507443-01AB-4B60-ADDD-512487AB6078}"/>
    <cellStyle name="Normal 9 2" xfId="93" xr:uid="{40EB77CC-8C35-4F1B-B15D-A01D1A81920D}"/>
    <cellStyle name="Note 2" xfId="63" xr:uid="{00000000-0005-0000-0000-000030000000}"/>
    <cellStyle name="Note 2 2" xfId="91" xr:uid="{00000000-0005-0000-0000-00003A000000}"/>
    <cellStyle name="Percent" xfId="45" builtinId="5"/>
    <cellStyle name="Percent 18" xfId="34" xr:uid="{00000000-0005-0000-0000-000029000000}"/>
    <cellStyle name="Percent 2" xfId="9" xr:uid="{00000000-0005-0000-0000-00002A000000}"/>
    <cellStyle name="Percent 2 2" xfId="6" xr:uid="{00000000-0005-0000-0000-00002B000000}"/>
    <cellStyle name="Percent 2 2 2" xfId="77" xr:uid="{00000000-0005-0000-0000-000034000000}"/>
    <cellStyle name="Percent 2 3" xfId="67" xr:uid="{00000000-0005-0000-0000-000033000000}"/>
    <cellStyle name="Percent 3" xfId="19" xr:uid="{00000000-0005-0000-0000-00002C000000}"/>
    <cellStyle name="Percent 3 2" xfId="36" xr:uid="{00000000-0005-0000-0000-00002D000000}"/>
    <cellStyle name="Percent 3 3" xfId="75" xr:uid="{00000000-0005-0000-0000-000035000000}"/>
    <cellStyle name="Percent 4" xfId="22" xr:uid="{00000000-0005-0000-0000-00002E000000}"/>
    <cellStyle name="Percent 4 2" xfId="39" xr:uid="{00000000-0005-0000-0000-00002F000000}"/>
    <cellStyle name="Percent 5" xfId="4" xr:uid="{00000000-0005-0000-0000-000052000000}"/>
    <cellStyle name="Percent 5 10" xfId="8" xr:uid="{00000000-0005-0000-0000-000030000000}"/>
    <cellStyle name="Percent 5 10 2" xfId="16" xr:uid="{00000000-0005-0000-0000-000031000000}"/>
    <cellStyle name="Percent 6" xfId="51" xr:uid="{A6C91195-C18D-436C-A5BB-5745DD22B2EB}"/>
    <cellStyle name="Percent 6 2" xfId="83" xr:uid="{ADAE99D8-8FC4-4F1E-8283-AF179EA7DC30}"/>
    <cellStyle name="Percent 7" xfId="55" xr:uid="{43CAB761-189F-455B-8A60-944C0B234B45}"/>
    <cellStyle name="Percent 8" xfId="57" xr:uid="{6F8A8F77-3857-4E04-B157-9797A4DACF15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D5D5"/>
      <color rgb="FF26B8FA"/>
      <color rgb="FFFECEFE"/>
      <color rgb="FFCCCCFF"/>
      <color rgb="FFFF99FF"/>
      <color rgb="FF43D6DD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microsoft.com/office/2017/10/relationships/person" Target="persons/person.xml"/><Relationship Id="rId37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styles" Target="styles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.5.12%20-%2008-01-804%20-%205-15-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rcantu05/Desktop/DSH%20Audits/2011/Amended%20March%202015/Master/1310%20Final%20Revised%2003112015%20Statewide%20DSH%20Master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tuary%20Analysis\Supplemental%20Programs\CHIRP\202309%20-%20SFY24\MCO%20In-Network%20Info\JG_2024%20CHIRP%20Enrollment%20Working%20Fil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MRSA%20West%20SDA/MRSA%20West%20Application%20-%2095%25%20Compliance%20with%20Actuarial%20Adjustment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hhsc/fs/ra/hs/RAH_ShareDrive/HRA/UPL/IP&amp;OP%20MCO%20UPL%20for%20UHRIP/2022%20UPLs%20without%20UHRIP/UPL_20210901-20220831_IP_R06_TX_02_wo_UHRIP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Documents%20and%20Settings/xding/Desktop/Report%20Docs/TylerFiles/Model%20Template_Draft_Compar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0R1004VFSRV01.txhhsc.txnet.state.tx.us\MyDocs1$\AC%20&amp;%20Hosp\UHRIP\PGY3\Actuarial\SFY20%20UHRIP%20Workbook%20-%2020190424%20PRELI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alhost\Rate%20Analysis\AC%20&amp;%20Hosp\2017%20Tools\Sending%20Apps\2017%20Apps\DY%206%20Applic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Documents%20and%20Settings/bcastillo1/Local%20Settings/Temporary%20Internet%20Files/Content.IE5/LFJB5X0E/255296_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hhsc/fs/ra/hs/RAH_ShareDrive/HRA/UPL/2022/IMD/UPL_20210901_20220831_IMD_R06_TX_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sites/hhsc/fs/ra/hs/RAH_ShareDrive/HRA/UPL/2022/IP%20Hosp/IP%20MCO/UPL_20210901-20220831_IP_R06_TX_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AC%20&amp;%20Hosp/DSH/2008%20DSH/DSH2008ADJUS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sgovind01/Documents/El%20Paso%20Managed%20Care%20Rates%20UMC%20Proposal/URI%20Applications/Bexar%20SDA/Bexar%20SDA%20Application%20-%2095%25%20Compliance%20Version%20with%20Actuarial%20Adjustment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5-4-2014/2013%20UC%20RW%20-%20Master%20-%205.1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hsc-sp.hhsea.txnet.state.tx.us/Users/iblaine/Documents/Medicaid/2014/Texas/Review%20Models/4-30-2014/UC%20Check%20Tool%20Mar.%2018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xhhs.sharepoint.com/Users/mfine01/AppData/Local/Microsoft/Windows/INetCache/Content.Outlook/FBN3LC0B/UC_DY1_FinalRecon_EY2016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SFY 2008 DSH TZF"/>
      <sheetName val="SFY 2008 DSH Urban TZG"/>
      <sheetName val="SFY 2008 DSH Rural TZH"/>
      <sheetName val="SFY 2008 DSH TZI"/>
      <sheetName val="Email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  <sheetName val="DSH Year Data"/>
      <sheetName val="CR Year Data"/>
      <sheetName val="CR Year RHC Data"/>
      <sheetName val="CR Year Alloc to DSH Year"/>
      <sheetName val="DSH Year Totals"/>
      <sheetName val="Notes"/>
      <sheetName val="Estimated HSL FFY 2011"/>
      <sheetName val="Report on Verifications"/>
      <sheetName val="Annual Reporting Requirements"/>
      <sheetName val="CR Year RHC Alloc to DSH Year"/>
      <sheetName val="DSH Year RHC Totals"/>
      <sheetName val="DSH Year Combined Totals"/>
      <sheetName val="Annual Reporting Requirements 2"/>
      <sheetName val="Report on Verifications 2"/>
      <sheetName val="Expanded Data Summary"/>
      <sheetName val="TPL Analysis"/>
      <sheetName val="#REF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40452</v>
          </cell>
          <cell r="B4">
            <v>40816</v>
          </cell>
        </row>
      </sheetData>
      <sheetData sheetId="6"/>
      <sheetData sheetId="7">
        <row r="2">
          <cell r="A2" t="str">
            <v>Medicare Number</v>
          </cell>
          <cell r="B2" t="str">
            <v>TPI</v>
          </cell>
          <cell r="C2" t="str">
            <v>QUALIFIED HOSPITAL</v>
          </cell>
          <cell r="D2" t="str">
            <v>DSH CAP (Estimated HSL)</v>
          </cell>
        </row>
        <row r="3">
          <cell r="A3" t="str">
            <v>450082</v>
          </cell>
          <cell r="B3" t="str">
            <v>020811801</v>
          </cell>
          <cell r="C3" t="str">
            <v>CHRISTUS SPOHN HOSPITAL - BEEVILLE</v>
          </cell>
          <cell r="D3">
            <v>3761786</v>
          </cell>
        </row>
        <row r="4">
          <cell r="A4" t="str">
            <v>450083</v>
          </cell>
          <cell r="B4" t="str">
            <v>020812601</v>
          </cell>
          <cell r="C4" t="str">
            <v>EAST TEXAS MEDICAL CENTER-TYLER</v>
          </cell>
          <cell r="D4">
            <v>22749751</v>
          </cell>
        </row>
        <row r="5">
          <cell r="A5" t="str">
            <v>450097</v>
          </cell>
          <cell r="B5" t="str">
            <v>020817501</v>
          </cell>
          <cell r="C5" t="str">
            <v>BAYSHORE MEDICAL CENTER</v>
          </cell>
          <cell r="D5">
            <v>28910566</v>
          </cell>
        </row>
        <row r="6">
          <cell r="A6" t="str">
            <v>450184</v>
          </cell>
          <cell r="B6" t="str">
            <v>020834001</v>
          </cell>
          <cell r="C6" t="str">
            <v>MEMORIAL HERMANN HOSPITAL SYSTEM</v>
          </cell>
          <cell r="D6">
            <v>116653466</v>
          </cell>
        </row>
        <row r="7">
          <cell r="A7" t="str">
            <v>450219</v>
          </cell>
          <cell r="B7" t="str">
            <v>020840701</v>
          </cell>
          <cell r="C7" t="str">
            <v>LLANO MEMORIAL HOSPITAL</v>
          </cell>
          <cell r="D7">
            <v>761705</v>
          </cell>
        </row>
        <row r="8">
          <cell r="A8" t="str">
            <v>450237</v>
          </cell>
          <cell r="B8" t="str">
            <v>020844901</v>
          </cell>
          <cell r="C8" t="str">
            <v>CHRISTUS SANTA ROSA HEALTH CARE</v>
          </cell>
          <cell r="D8">
            <v>63023841</v>
          </cell>
        </row>
        <row r="9">
          <cell r="A9" t="str">
            <v>450587</v>
          </cell>
          <cell r="B9" t="str">
            <v>020930601</v>
          </cell>
          <cell r="C9" t="str">
            <v>BROWNWOOD REGIONAL MEDICAL CTR</v>
          </cell>
          <cell r="D9">
            <v>3371554</v>
          </cell>
        </row>
        <row r="10">
          <cell r="A10" t="str">
            <v>450662</v>
          </cell>
          <cell r="B10" t="str">
            <v>020947001</v>
          </cell>
          <cell r="C10" t="str">
            <v>VALLEY REGIONAL MEDICAL CENTER</v>
          </cell>
          <cell r="D10">
            <v>20355806</v>
          </cell>
        </row>
        <row r="11">
          <cell r="A11" t="str">
            <v>450788</v>
          </cell>
          <cell r="B11" t="str">
            <v>020973601</v>
          </cell>
          <cell r="C11" t="str">
            <v>CORPUS CHRISTI MEDICAL CENTER</v>
          </cell>
          <cell r="D11">
            <v>12137897</v>
          </cell>
        </row>
        <row r="12">
          <cell r="A12" t="str">
            <v>450801</v>
          </cell>
          <cell r="B12" t="str">
            <v>020976901</v>
          </cell>
          <cell r="C12" t="str">
            <v>CHRISTUS ST MICHAEL HEALTH SYSTEM</v>
          </cell>
          <cell r="D12">
            <v>33386345</v>
          </cell>
        </row>
        <row r="13">
          <cell r="A13" t="str">
            <v>451317</v>
          </cell>
          <cell r="B13" t="str">
            <v>020991801</v>
          </cell>
          <cell r="C13" t="str">
            <v>MEMORIAL HOSPITAL DISTRICT-REFUGIO</v>
          </cell>
          <cell r="D13">
            <v>685791</v>
          </cell>
        </row>
        <row r="14">
          <cell r="A14" t="str">
            <v>453300</v>
          </cell>
          <cell r="B14" t="str">
            <v>021184901</v>
          </cell>
          <cell r="C14" t="str">
            <v>COOK CHILDREN'S MEDICAL CENTER</v>
          </cell>
          <cell r="D14">
            <v>11197247</v>
          </cell>
        </row>
        <row r="15">
          <cell r="A15" t="str">
            <v>453309</v>
          </cell>
          <cell r="B15" t="str">
            <v>021185601</v>
          </cell>
          <cell r="C15" t="str">
            <v>HEALTHBRIDGE CHILDREN'S HOSPITAL</v>
          </cell>
          <cell r="D15">
            <v>166159</v>
          </cell>
        </row>
        <row r="16">
          <cell r="A16" t="e">
            <v>#N/A</v>
          </cell>
          <cell r="B16" t="str">
            <v>021189801</v>
          </cell>
          <cell r="C16" t="str">
            <v>MILLWOOD HOSPITAL</v>
          </cell>
          <cell r="D16">
            <v>-1641025</v>
          </cell>
        </row>
        <row r="17">
          <cell r="A17" t="str">
            <v>454084</v>
          </cell>
          <cell r="B17" t="str">
            <v>021194801</v>
          </cell>
          <cell r="C17" t="str">
            <v>AUSTIN STATE HOSP</v>
          </cell>
          <cell r="D17">
            <v>56361493</v>
          </cell>
        </row>
        <row r="18">
          <cell r="A18" t="str">
            <v>454008</v>
          </cell>
          <cell r="B18" t="str">
            <v>021195501</v>
          </cell>
          <cell r="C18" t="str">
            <v>N TEXAS STATE-WICHITA FALLS and VERNON</v>
          </cell>
          <cell r="D18">
            <v>104028388</v>
          </cell>
        </row>
        <row r="19">
          <cell r="A19" t="e">
            <v>#N/A</v>
          </cell>
          <cell r="B19" t="str">
            <v>021214401</v>
          </cell>
          <cell r="C19" t="str">
            <v>DEVEREUX-TEXAS TREATMENT</v>
          </cell>
          <cell r="D19">
            <v>-204885</v>
          </cell>
        </row>
        <row r="20">
          <cell r="A20" t="str">
            <v>454114</v>
          </cell>
          <cell r="B20" t="str">
            <v>021215102</v>
          </cell>
          <cell r="C20" t="str">
            <v>CEDAR CREST HOSPITAL</v>
          </cell>
          <cell r="D20">
            <v>2903546</v>
          </cell>
        </row>
        <row r="21">
          <cell r="A21" t="str">
            <v>454088</v>
          </cell>
          <cell r="B21" t="str">
            <v>021219301</v>
          </cell>
          <cell r="C21" t="str">
            <v>RIO  GRANDE STATE HOSP</v>
          </cell>
          <cell r="D21">
            <v>15220723</v>
          </cell>
        </row>
        <row r="22">
          <cell r="A22" t="str">
            <v>454096</v>
          </cell>
          <cell r="B22" t="str">
            <v>021223501</v>
          </cell>
          <cell r="C22" t="str">
            <v>PADRE BEHAVIORAL HOSPITAL</v>
          </cell>
          <cell r="D22">
            <v>20125</v>
          </cell>
        </row>
        <row r="23">
          <cell r="A23" t="str">
            <v>450253</v>
          </cell>
          <cell r="B23" t="str">
            <v>083290905</v>
          </cell>
          <cell r="C23" t="str">
            <v>BELLVILLE GENERAL HOSPITAL</v>
          </cell>
          <cell r="D23">
            <v>473322</v>
          </cell>
        </row>
        <row r="24">
          <cell r="A24" t="str">
            <v>451325</v>
          </cell>
          <cell r="B24" t="str">
            <v>091770005</v>
          </cell>
          <cell r="C24" t="str">
            <v>CONCHO COUNTY HOSPITAL</v>
          </cell>
          <cell r="D24">
            <v>399567</v>
          </cell>
        </row>
        <row r="25">
          <cell r="A25" t="str">
            <v>450018</v>
          </cell>
          <cell r="B25" t="str">
            <v>094092602</v>
          </cell>
          <cell r="C25" t="str">
            <v>UNIV OF TEX MED BRANCH</v>
          </cell>
          <cell r="D25">
            <v>62627913</v>
          </cell>
        </row>
        <row r="26">
          <cell r="A26" t="str">
            <v>450037</v>
          </cell>
          <cell r="B26" t="str">
            <v>094095902</v>
          </cell>
          <cell r="C26" t="str">
            <v>GOOD SHEPHERD MEDICAL CENTER</v>
          </cell>
          <cell r="D26">
            <v>23785497</v>
          </cell>
        </row>
        <row r="27">
          <cell r="A27" t="str">
            <v>450102</v>
          </cell>
          <cell r="B27" t="str">
            <v>094108002</v>
          </cell>
          <cell r="C27" t="str">
            <v>MOTHER FRANCES HOSP REG HEALTHCARE CTR</v>
          </cell>
          <cell r="D27">
            <v>15153890</v>
          </cell>
        </row>
        <row r="28">
          <cell r="A28" t="str">
            <v>450107</v>
          </cell>
          <cell r="B28" t="str">
            <v>094109802</v>
          </cell>
          <cell r="C28" t="str">
            <v>LAS PALMAS MEDICAL CENTER</v>
          </cell>
          <cell r="D28">
            <v>25088305</v>
          </cell>
        </row>
        <row r="29">
          <cell r="A29" t="str">
            <v>450119</v>
          </cell>
          <cell r="B29" t="str">
            <v>094113001</v>
          </cell>
          <cell r="C29" t="str">
            <v>SOUTH TEXAS HEALTH SYSTEM</v>
          </cell>
          <cell r="D29">
            <v>29753896</v>
          </cell>
        </row>
        <row r="30">
          <cell r="A30" t="str">
            <v>450147</v>
          </cell>
          <cell r="B30" t="str">
            <v>094118902</v>
          </cell>
          <cell r="C30" t="str">
            <v>DETAR HOSPITAL</v>
          </cell>
          <cell r="D30">
            <v>4865973</v>
          </cell>
        </row>
        <row r="31">
          <cell r="A31" t="str">
            <v>450152</v>
          </cell>
          <cell r="B31" t="str">
            <v>094119702</v>
          </cell>
          <cell r="C31" t="str">
            <v>METROPLEX ADVENTIST HOSPITAL</v>
          </cell>
          <cell r="D31">
            <v>7722905</v>
          </cell>
        </row>
        <row r="32">
          <cell r="A32" t="str">
            <v>451358</v>
          </cell>
          <cell r="B32" t="str">
            <v>094121303</v>
          </cell>
          <cell r="C32" t="str">
            <v>MEMORIAL HOSPITAL-SEMINOLE</v>
          </cell>
          <cell r="D32">
            <v>1969956</v>
          </cell>
        </row>
        <row r="33">
          <cell r="A33" t="str">
            <v>450210</v>
          </cell>
          <cell r="B33" t="str">
            <v>094127002</v>
          </cell>
          <cell r="C33" t="str">
            <v>EAST TEXAS MEDICAL CENTER-CARTHAGE</v>
          </cell>
          <cell r="D33">
            <v>1365102</v>
          </cell>
        </row>
        <row r="34">
          <cell r="A34" t="str">
            <v>450221</v>
          </cell>
          <cell r="B34" t="str">
            <v>094129602</v>
          </cell>
          <cell r="C34" t="str">
            <v>MOORE COUNTY HOSPITAL DISTRICT</v>
          </cell>
          <cell r="D34">
            <v>637401</v>
          </cell>
        </row>
        <row r="35">
          <cell r="A35" t="str">
            <v>450243</v>
          </cell>
          <cell r="B35" t="str">
            <v>094131202</v>
          </cell>
          <cell r="C35" t="str">
            <v>HAMLIN MEMORIAL HOSPITAL</v>
          </cell>
          <cell r="D35">
            <v>311535</v>
          </cell>
        </row>
        <row r="36">
          <cell r="A36" t="str">
            <v>450388</v>
          </cell>
          <cell r="B36" t="str">
            <v>094154402</v>
          </cell>
          <cell r="C36" t="str">
            <v>METHODIST HOSPITAL</v>
          </cell>
          <cell r="D36">
            <v>69688339</v>
          </cell>
        </row>
        <row r="37">
          <cell r="A37" t="str">
            <v>450431</v>
          </cell>
          <cell r="B37" t="str">
            <v>094160102</v>
          </cell>
          <cell r="C37" t="str">
            <v>ST DAVID'S MEDICAL CENTER</v>
          </cell>
          <cell r="D37">
            <v>21696164</v>
          </cell>
        </row>
        <row r="38">
          <cell r="A38" t="str">
            <v>450475</v>
          </cell>
          <cell r="B38" t="str">
            <v>094162702</v>
          </cell>
          <cell r="C38" t="str">
            <v>HENDERSON MEMORIAL HOSPITAL</v>
          </cell>
          <cell r="D38">
            <v>828902</v>
          </cell>
        </row>
        <row r="39">
          <cell r="A39" t="str">
            <v>451312</v>
          </cell>
          <cell r="B39" t="str">
            <v>094171801</v>
          </cell>
          <cell r="C39" t="str">
            <v>RICE MEDICAL CENTER</v>
          </cell>
          <cell r="D39">
            <v>825948</v>
          </cell>
        </row>
        <row r="40">
          <cell r="A40" t="str">
            <v>450643</v>
          </cell>
          <cell r="B40" t="str">
            <v>094186602</v>
          </cell>
          <cell r="C40" t="str">
            <v>DOCTORS HOSPITAL - LAREDO</v>
          </cell>
          <cell r="D40">
            <v>4411440</v>
          </cell>
        </row>
        <row r="41">
          <cell r="A41" t="str">
            <v>450828</v>
          </cell>
          <cell r="B41" t="str">
            <v>094222902</v>
          </cell>
          <cell r="C41" t="str">
            <v>CHRISTUS SPOHN HOSPITAL -  ALICE</v>
          </cell>
          <cell r="D41">
            <v>4255480</v>
          </cell>
        </row>
        <row r="42">
          <cell r="A42" t="str">
            <v>451378</v>
          </cell>
          <cell r="B42" t="str">
            <v>094224503</v>
          </cell>
          <cell r="C42" t="str">
            <v>BIG BEND REGIONAL MEDICAL CENTER</v>
          </cell>
          <cell r="D42">
            <v>2464586</v>
          </cell>
        </row>
        <row r="43">
          <cell r="A43" t="str">
            <v>453308</v>
          </cell>
          <cell r="B43" t="str">
            <v>094357302</v>
          </cell>
          <cell r="C43" t="str">
            <v>OUR CHILDREN'S HOUSE AT BAYLOR</v>
          </cell>
          <cell r="D43">
            <v>1794015</v>
          </cell>
        </row>
        <row r="44">
          <cell r="A44" t="str">
            <v>450092</v>
          </cell>
          <cell r="B44" t="str">
            <v>110803703</v>
          </cell>
          <cell r="C44" t="str">
            <v>FORT DUNCAN REGIONAL MEDICAL CENTER</v>
          </cell>
          <cell r="D44">
            <v>5831497</v>
          </cell>
        </row>
        <row r="45">
          <cell r="A45" t="str">
            <v>451354</v>
          </cell>
          <cell r="B45" t="str">
            <v>110856504</v>
          </cell>
          <cell r="C45" t="str">
            <v>HAMILTON HOSPITAL</v>
          </cell>
          <cell r="D45">
            <v>1290646</v>
          </cell>
        </row>
        <row r="46">
          <cell r="A46" t="str">
            <v>450032</v>
          </cell>
          <cell r="B46" t="str">
            <v>112667403</v>
          </cell>
          <cell r="C46" t="str">
            <v>Good Shepherd Medical Center - Marshall</v>
          </cell>
          <cell r="D46">
            <v>6095598</v>
          </cell>
        </row>
        <row r="47">
          <cell r="A47" t="str">
            <v>450076</v>
          </cell>
          <cell r="B47" t="str">
            <v>112672402</v>
          </cell>
          <cell r="C47" t="str">
            <v>M. D. ANDERSON CANCER CENTER</v>
          </cell>
          <cell r="D47">
            <v>49050767</v>
          </cell>
        </row>
        <row r="48">
          <cell r="A48" t="str">
            <v>451346</v>
          </cell>
          <cell r="B48" t="str">
            <v>112673204</v>
          </cell>
          <cell r="C48" t="str">
            <v>YOAKUM COMMUNITY HOSPITAL</v>
          </cell>
          <cell r="D48">
            <v>1156049</v>
          </cell>
        </row>
        <row r="49">
          <cell r="A49" t="str">
            <v>450135</v>
          </cell>
          <cell r="B49" t="str">
            <v>112677302</v>
          </cell>
          <cell r="C49" t="str">
            <v>TEXAS HEALTH FORT WORTH</v>
          </cell>
          <cell r="D49">
            <v>67556896</v>
          </cell>
        </row>
        <row r="50">
          <cell r="A50" t="str">
            <v>450176</v>
          </cell>
          <cell r="B50" t="str">
            <v>112679902</v>
          </cell>
          <cell r="C50" t="str">
            <v>MISSION REGIONAL MEDICAL CENTER</v>
          </cell>
          <cell r="D50">
            <v>14190330</v>
          </cell>
        </row>
        <row r="51">
          <cell r="A51" t="str">
            <v>451377</v>
          </cell>
          <cell r="B51" t="str">
            <v>112684904</v>
          </cell>
          <cell r="C51" t="str">
            <v>REEVES COUNTY HOSPITAL</v>
          </cell>
          <cell r="D51">
            <v>1891289</v>
          </cell>
        </row>
        <row r="52">
          <cell r="A52" t="str">
            <v>450293</v>
          </cell>
          <cell r="B52" t="str">
            <v>112688002</v>
          </cell>
          <cell r="C52" t="str">
            <v>FRIO HOSPITAL</v>
          </cell>
          <cell r="D52">
            <v>1658161</v>
          </cell>
        </row>
        <row r="53">
          <cell r="A53" t="str">
            <v>450620</v>
          </cell>
          <cell r="B53" t="str">
            <v>112690603</v>
          </cell>
          <cell r="C53" t="str">
            <v>DIMMIT COUNTY MEMORIAL HOSPITAL</v>
          </cell>
          <cell r="D53">
            <v>1892872</v>
          </cell>
        </row>
        <row r="54">
          <cell r="A54" t="str">
            <v>450395</v>
          </cell>
          <cell r="B54" t="str">
            <v>112697102</v>
          </cell>
          <cell r="C54" t="str">
            <v>POLK COUNTY MEMORIAL HOSP</v>
          </cell>
          <cell r="D54">
            <v>5724882</v>
          </cell>
        </row>
        <row r="55">
          <cell r="A55" t="str">
            <v>450447</v>
          </cell>
          <cell r="B55" t="str">
            <v>112701102</v>
          </cell>
          <cell r="C55" t="str">
            <v>NAVARRO REGIONAL HOSPITAL</v>
          </cell>
          <cell r="D55">
            <v>3665202</v>
          </cell>
        </row>
        <row r="56">
          <cell r="A56" t="e">
            <v>#N/A</v>
          </cell>
          <cell r="B56" t="str">
            <v>112704504</v>
          </cell>
          <cell r="C56" t="str">
            <v>OCHILTREE HOSPITAL DISTRICT</v>
          </cell>
          <cell r="D56">
            <v>-137327</v>
          </cell>
        </row>
        <row r="57">
          <cell r="A57" t="str">
            <v>450573</v>
          </cell>
          <cell r="B57" t="str">
            <v>112706003</v>
          </cell>
          <cell r="C57" t="str">
            <v>CHRISTUS JASPER MEMORIAL HOSPITAL</v>
          </cell>
          <cell r="D57">
            <v>2272204</v>
          </cell>
        </row>
        <row r="58">
          <cell r="A58" t="str">
            <v>450711</v>
          </cell>
          <cell r="B58" t="str">
            <v>112716902</v>
          </cell>
          <cell r="C58" t="str">
            <v>RIO GRANDE REGIONAL HOSPITAL</v>
          </cell>
          <cell r="D58">
            <v>14351907</v>
          </cell>
        </row>
        <row r="59">
          <cell r="A59" t="str">
            <v>450716</v>
          </cell>
          <cell r="B59" t="str">
            <v>112718503</v>
          </cell>
          <cell r="C59" t="str">
            <v>CYPRESS FAIRBANKS MEDICAL CENTER</v>
          </cell>
          <cell r="D59">
            <v>7089948</v>
          </cell>
        </row>
        <row r="60">
          <cell r="A60" t="str">
            <v>450803</v>
          </cell>
          <cell r="B60" t="str">
            <v>112727604</v>
          </cell>
          <cell r="C60" t="str">
            <v>DOCTORS HOSPITAL-TIDWELL</v>
          </cell>
          <cell r="D60">
            <v>3265692</v>
          </cell>
        </row>
        <row r="61">
          <cell r="A61" t="str">
            <v>453323</v>
          </cell>
          <cell r="B61" t="str">
            <v>112742503</v>
          </cell>
          <cell r="C61" t="str">
            <v>CLARITY CHILD GUIDANCE CENTER</v>
          </cell>
          <cell r="D61">
            <v>1791277</v>
          </cell>
        </row>
        <row r="62">
          <cell r="A62" t="str">
            <v>454100</v>
          </cell>
          <cell r="B62" t="str">
            <v>112751605</v>
          </cell>
          <cell r="C62" t="str">
            <v>EL PASO PSYCHIATRIC CENTER</v>
          </cell>
          <cell r="D62">
            <v>17949625</v>
          </cell>
        </row>
        <row r="63">
          <cell r="A63" t="str">
            <v>450241</v>
          </cell>
          <cell r="B63" t="str">
            <v>119874904</v>
          </cell>
          <cell r="C63" t="str">
            <v>FAITH COMMUNITY HOSPITAL</v>
          </cell>
          <cell r="D63">
            <v>475188</v>
          </cell>
        </row>
        <row r="64">
          <cell r="A64" t="str">
            <v>450154</v>
          </cell>
          <cell r="B64" t="str">
            <v>119877204</v>
          </cell>
          <cell r="C64" t="str">
            <v>VAL VERDE REGIONAL MED CENTER</v>
          </cell>
          <cell r="D64">
            <v>6549320</v>
          </cell>
        </row>
        <row r="65">
          <cell r="A65" t="str">
            <v>450746</v>
          </cell>
          <cell r="B65" t="str">
            <v>121053602</v>
          </cell>
          <cell r="C65" t="str">
            <v>KNOX COUNTY HOSPITAL</v>
          </cell>
          <cell r="D65">
            <v>202429</v>
          </cell>
        </row>
        <row r="66">
          <cell r="A66" t="str">
            <v>451352</v>
          </cell>
          <cell r="B66" t="str">
            <v>121692107</v>
          </cell>
          <cell r="C66" t="str">
            <v>HARDEMAN COUNTY MEMORIAL</v>
          </cell>
          <cell r="D66">
            <v>326649</v>
          </cell>
        </row>
        <row r="67">
          <cell r="A67" t="str">
            <v>450090</v>
          </cell>
          <cell r="B67" t="str">
            <v>121777003</v>
          </cell>
          <cell r="C67" t="str">
            <v>NORTH TEXAS MEDICAL CENTER</v>
          </cell>
          <cell r="D67">
            <v>2429962</v>
          </cell>
        </row>
        <row r="68">
          <cell r="A68" t="str">
            <v>450165</v>
          </cell>
          <cell r="B68" t="str">
            <v>121780403</v>
          </cell>
          <cell r="C68" t="str">
            <v>SOUTH TEXAS REGIONAL MEDICAL</v>
          </cell>
          <cell r="D68">
            <v>2875302</v>
          </cell>
        </row>
        <row r="69">
          <cell r="A69" t="str">
            <v>451324</v>
          </cell>
          <cell r="B69" t="str">
            <v>121781205</v>
          </cell>
          <cell r="C69" t="str">
            <v>LILLIAN M HUDSPETH MEMORIAL HOSP</v>
          </cell>
          <cell r="D69">
            <v>785180</v>
          </cell>
        </row>
        <row r="70">
          <cell r="A70" t="str">
            <v>450177</v>
          </cell>
          <cell r="B70" t="str">
            <v>121782003</v>
          </cell>
          <cell r="C70" t="str">
            <v>UVALDE MEMORIAL HOSPITAL</v>
          </cell>
          <cell r="D70">
            <v>3692120</v>
          </cell>
        </row>
        <row r="71">
          <cell r="A71" t="str">
            <v>450234</v>
          </cell>
          <cell r="B71" t="str">
            <v>121784603</v>
          </cell>
          <cell r="C71" t="str">
            <v>COMANCHE COMMUNITY HOSPITAL</v>
          </cell>
          <cell r="D71">
            <v>415758</v>
          </cell>
        </row>
        <row r="72">
          <cell r="A72" t="str">
            <v>450235</v>
          </cell>
          <cell r="B72" t="str">
            <v>121785303</v>
          </cell>
          <cell r="C72" t="str">
            <v>MEMORIAL HOSPITAL-GONZALES</v>
          </cell>
          <cell r="D72">
            <v>2112085</v>
          </cell>
        </row>
        <row r="73">
          <cell r="A73" t="str">
            <v>450591</v>
          </cell>
          <cell r="B73" t="str">
            <v>121805903</v>
          </cell>
          <cell r="C73" t="str">
            <v>ANGLETON DANBURY MEDICAL CENTER</v>
          </cell>
          <cell r="D73">
            <v>4576612</v>
          </cell>
        </row>
        <row r="74">
          <cell r="A74" t="str">
            <v>450617</v>
          </cell>
          <cell r="B74" t="str">
            <v>121807504</v>
          </cell>
          <cell r="C74" t="str">
            <v>CLEAR LAKE REGIONAL MEDICAL</v>
          </cell>
          <cell r="D74">
            <v>3769234</v>
          </cell>
        </row>
        <row r="75">
          <cell r="A75" t="str">
            <v>451363</v>
          </cell>
          <cell r="B75" t="str">
            <v>121808305</v>
          </cell>
          <cell r="C75" t="str">
            <v>JACKSON COUNTY HOSPITAL</v>
          </cell>
          <cell r="D75">
            <v>2186708</v>
          </cell>
        </row>
        <row r="76">
          <cell r="A76" t="str">
            <v>450833</v>
          </cell>
          <cell r="B76" t="str">
            <v>121822403</v>
          </cell>
          <cell r="C76" t="str">
            <v>ENNIS REGIONAL MEDICAL CENTER</v>
          </cell>
          <cell r="D76">
            <v>2649791</v>
          </cell>
        </row>
        <row r="77">
          <cell r="A77" t="e">
            <v>#N/A</v>
          </cell>
          <cell r="B77" t="str">
            <v>121829902</v>
          </cell>
          <cell r="C77" t="str">
            <v>WEST OAKS HOSPITAL INC</v>
          </cell>
          <cell r="D77">
            <v>-1286962</v>
          </cell>
        </row>
        <row r="78">
          <cell r="A78" t="str">
            <v>451337</v>
          </cell>
          <cell r="B78" t="str">
            <v>126667806</v>
          </cell>
          <cell r="C78" t="str">
            <v>W. J. MANGOLD MEMORIAL HOSP</v>
          </cell>
          <cell r="D78">
            <v>917310</v>
          </cell>
        </row>
        <row r="79">
          <cell r="A79" t="str">
            <v>450039</v>
          </cell>
          <cell r="B79" t="str">
            <v>126675104</v>
          </cell>
          <cell r="C79" t="str">
            <v>JPS HEALTH NETWORK</v>
          </cell>
          <cell r="D79">
            <v>257755375</v>
          </cell>
        </row>
        <row r="80">
          <cell r="A80" t="str">
            <v>450539</v>
          </cell>
          <cell r="B80" t="str">
            <v>127263503</v>
          </cell>
          <cell r="C80" t="str">
            <v>METHODIST HOSPITAL-PLAINVIEW</v>
          </cell>
          <cell r="D80">
            <v>1075120</v>
          </cell>
        </row>
        <row r="81">
          <cell r="A81" t="str">
            <v>450011</v>
          </cell>
          <cell r="B81" t="str">
            <v>127267603</v>
          </cell>
          <cell r="C81" t="str">
            <v>ST JOSEPH REGIONAL HEALTH CENTER</v>
          </cell>
          <cell r="D81">
            <v>22545280</v>
          </cell>
        </row>
        <row r="82">
          <cell r="A82" t="str">
            <v>450690</v>
          </cell>
          <cell r="B82" t="str">
            <v>127278304</v>
          </cell>
          <cell r="C82" t="str">
            <v>UT HEALTH CENTER-TYLER</v>
          </cell>
          <cell r="D82">
            <v>8564214</v>
          </cell>
        </row>
        <row r="83">
          <cell r="A83" t="str">
            <v>450015</v>
          </cell>
          <cell r="B83" t="str">
            <v>127295703</v>
          </cell>
          <cell r="C83" t="str">
            <v>DALLAS COUNTY HOSPITAL DISTRICT</v>
          </cell>
          <cell r="D83">
            <v>400228098</v>
          </cell>
        </row>
        <row r="84">
          <cell r="A84" t="str">
            <v>450144</v>
          </cell>
          <cell r="B84" t="str">
            <v>127298103</v>
          </cell>
          <cell r="C84" t="str">
            <v>PERMIAN REGIONAL MEDICAL CENTER</v>
          </cell>
          <cell r="D84">
            <v>1558654</v>
          </cell>
        </row>
        <row r="85">
          <cell r="A85" t="str">
            <v>450330</v>
          </cell>
          <cell r="B85" t="str">
            <v>127303903</v>
          </cell>
          <cell r="C85" t="str">
            <v>OAK BEND MED. CTR.</v>
          </cell>
          <cell r="D85">
            <v>11220268</v>
          </cell>
        </row>
        <row r="86">
          <cell r="A86" t="str">
            <v>450698</v>
          </cell>
          <cell r="B86" t="str">
            <v>127313803</v>
          </cell>
          <cell r="C86" t="str">
            <v>LAMB HEALTHCARE CENTER</v>
          </cell>
          <cell r="D86">
            <v>1713821</v>
          </cell>
        </row>
        <row r="87">
          <cell r="A87" t="str">
            <v>453306</v>
          </cell>
          <cell r="B87" t="str">
            <v>127319504</v>
          </cell>
          <cell r="C87" t="str">
            <v>COVENANT CHILDREN'S HOSPITAL</v>
          </cell>
          <cell r="D87">
            <v>3619390</v>
          </cell>
        </row>
        <row r="88">
          <cell r="A88" t="str">
            <v>450002</v>
          </cell>
          <cell r="B88" t="str">
            <v>130601104</v>
          </cell>
          <cell r="C88" t="str">
            <v>PROVIDENCE MEMORIAL HOSPITAL</v>
          </cell>
          <cell r="D88">
            <v>6429022</v>
          </cell>
        </row>
        <row r="89">
          <cell r="A89" t="str">
            <v>450194</v>
          </cell>
          <cell r="B89" t="str">
            <v>130612806</v>
          </cell>
          <cell r="C89" t="str">
            <v>EAST TEXAS MEDICAL CENTER-JACKSONVILLE</v>
          </cell>
          <cell r="D89">
            <v>2644178</v>
          </cell>
        </row>
        <row r="90">
          <cell r="A90" t="str">
            <v>450085</v>
          </cell>
          <cell r="B90" t="str">
            <v>130613604</v>
          </cell>
          <cell r="C90" t="str">
            <v>GRAHAM GENERAL HOSPITAL</v>
          </cell>
          <cell r="D90">
            <v>1055150</v>
          </cell>
        </row>
        <row r="91">
          <cell r="A91" t="str">
            <v>450178</v>
          </cell>
          <cell r="B91" t="str">
            <v>130616905</v>
          </cell>
          <cell r="C91" t="str">
            <v>PECOS COUNTY MEMORIAL HOSP</v>
          </cell>
          <cell r="D91">
            <v>2597296</v>
          </cell>
        </row>
        <row r="92">
          <cell r="A92" t="str">
            <v>450399</v>
          </cell>
          <cell r="B92" t="str">
            <v>130618504</v>
          </cell>
          <cell r="C92" t="str">
            <v>BROWNFIELD REGIONAL MEDICAL CENTER</v>
          </cell>
          <cell r="D92">
            <v>1643816</v>
          </cell>
        </row>
        <row r="93">
          <cell r="A93" t="str">
            <v>451331</v>
          </cell>
          <cell r="B93" t="str">
            <v>130826407</v>
          </cell>
          <cell r="C93" t="str">
            <v>COON MEMORIAL HOSPITAL</v>
          </cell>
          <cell r="D93">
            <v>1053818</v>
          </cell>
        </row>
        <row r="94">
          <cell r="A94" t="str">
            <v>450188</v>
          </cell>
          <cell r="B94" t="str">
            <v>130862905</v>
          </cell>
          <cell r="C94" t="str">
            <v>EAST TEXAS MED CTR-CLARKSVILLE</v>
          </cell>
          <cell r="D94">
            <v>2738103</v>
          </cell>
        </row>
        <row r="95">
          <cell r="A95" t="str">
            <v>451372</v>
          </cell>
          <cell r="B95" t="str">
            <v>130877708</v>
          </cell>
          <cell r="C95" t="str">
            <v>MULESHOE AREA HOSPITAL</v>
          </cell>
          <cell r="D95">
            <v>552514</v>
          </cell>
        </row>
        <row r="96">
          <cell r="A96" t="str">
            <v>450465</v>
          </cell>
          <cell r="B96" t="str">
            <v>130959304</v>
          </cell>
          <cell r="C96" t="str">
            <v>MATAGORDA REGIONAL MEDICAL CENTER</v>
          </cell>
          <cell r="D96">
            <v>3531665</v>
          </cell>
        </row>
        <row r="97">
          <cell r="A97" t="str">
            <v>450508</v>
          </cell>
          <cell r="B97" t="str">
            <v>131030203</v>
          </cell>
          <cell r="C97" t="str">
            <v>MEMORIAL HOSPITAL-NACOGDOCHES</v>
          </cell>
          <cell r="D97">
            <v>10202369</v>
          </cell>
        </row>
        <row r="98">
          <cell r="A98" t="str">
            <v>451302</v>
          </cell>
          <cell r="B98" t="str">
            <v>131035105</v>
          </cell>
          <cell r="C98" t="str">
            <v>GOOD SHEPHERD M C - LINDEN</v>
          </cell>
          <cell r="D98">
            <v>397789</v>
          </cell>
        </row>
        <row r="99">
          <cell r="A99" t="str">
            <v>450236</v>
          </cell>
          <cell r="B99" t="str">
            <v>131037704</v>
          </cell>
          <cell r="C99" t="str">
            <v>HOPKINS COUNTY MEMORIAL HOSP</v>
          </cell>
          <cell r="D99">
            <v>2975180</v>
          </cell>
        </row>
        <row r="100">
          <cell r="A100" t="str">
            <v>450352</v>
          </cell>
          <cell r="B100" t="str">
            <v>131038504</v>
          </cell>
          <cell r="C100" t="str">
            <v>PRESBYTERIAN HOSPITAL OF GREENVILLE</v>
          </cell>
          <cell r="D100">
            <v>13695876</v>
          </cell>
        </row>
        <row r="101">
          <cell r="A101" t="str">
            <v>450446</v>
          </cell>
          <cell r="B101" t="str">
            <v>131040104</v>
          </cell>
          <cell r="C101" t="str">
            <v>RIVERSIDE GENERAL HOSPITAL</v>
          </cell>
          <cell r="D101">
            <v>3801049</v>
          </cell>
        </row>
        <row r="102">
          <cell r="A102" t="str">
            <v>450653</v>
          </cell>
          <cell r="B102" t="str">
            <v>131043506</v>
          </cell>
          <cell r="C102" t="str">
            <v>SCENIC MOUNTAIN MEDICAL CENTER</v>
          </cell>
          <cell r="D102">
            <v>2295123</v>
          </cell>
        </row>
        <row r="103">
          <cell r="A103" t="str">
            <v>453301</v>
          </cell>
          <cell r="B103" t="str">
            <v>132812205</v>
          </cell>
          <cell r="C103" t="str">
            <v>DRISCOLL CHILDREN'S HOSPITAL</v>
          </cell>
          <cell r="D103">
            <v>22923674</v>
          </cell>
        </row>
        <row r="104">
          <cell r="A104" t="str">
            <v>450055</v>
          </cell>
          <cell r="B104" t="str">
            <v>133244705</v>
          </cell>
          <cell r="C104" t="str">
            <v>ROLLING PLAINS MEMORIAL HOSPITAL</v>
          </cell>
          <cell r="D104">
            <v>3090096</v>
          </cell>
        </row>
        <row r="105">
          <cell r="A105" t="str">
            <v>450369</v>
          </cell>
          <cell r="B105" t="str">
            <v>133250406</v>
          </cell>
          <cell r="C105" t="str">
            <v>CHILDRESS REGIONAL MEDICAL</v>
          </cell>
          <cell r="D105">
            <v>1478489</v>
          </cell>
        </row>
        <row r="106">
          <cell r="A106" t="str">
            <v>450192</v>
          </cell>
          <cell r="B106" t="str">
            <v>133252005</v>
          </cell>
          <cell r="C106" t="str">
            <v>HILL REGIONAL HOSPITAL</v>
          </cell>
          <cell r="D106">
            <v>2622668</v>
          </cell>
        </row>
        <row r="107">
          <cell r="A107" t="str">
            <v>452033</v>
          </cell>
          <cell r="B107" t="str">
            <v>133257904</v>
          </cell>
          <cell r="C107" t="str">
            <v>T. C. I. D.</v>
          </cell>
          <cell r="D107">
            <v>13331075</v>
          </cell>
        </row>
        <row r="108">
          <cell r="A108" t="str">
            <v>454009</v>
          </cell>
          <cell r="B108" t="str">
            <v>133331202</v>
          </cell>
          <cell r="C108" t="str">
            <v>RUSK STATE HOSPITAL</v>
          </cell>
          <cell r="D108">
            <v>58284806</v>
          </cell>
        </row>
        <row r="109">
          <cell r="A109" t="str">
            <v>450289</v>
          </cell>
          <cell r="B109" t="str">
            <v>133355104</v>
          </cell>
          <cell r="C109" t="str">
            <v>HARRIS COUNTY HOSPITAL DISTRICT</v>
          </cell>
          <cell r="D109">
            <v>517210372</v>
          </cell>
        </row>
        <row r="110">
          <cell r="A110" t="str">
            <v>450348</v>
          </cell>
          <cell r="B110" t="str">
            <v>133367602</v>
          </cell>
          <cell r="C110" t="str">
            <v>FALLS COMMUNITY HOSPITAL</v>
          </cell>
          <cell r="D110">
            <v>1539666</v>
          </cell>
        </row>
        <row r="111">
          <cell r="A111" t="str">
            <v>450231</v>
          </cell>
          <cell r="B111" t="str">
            <v>133457505</v>
          </cell>
          <cell r="C111" t="str">
            <v>BAPTIST ST ANTHONY'S</v>
          </cell>
          <cell r="D111">
            <v>13563518</v>
          </cell>
        </row>
        <row r="112">
          <cell r="A112" t="str">
            <v>450155</v>
          </cell>
          <cell r="B112" t="str">
            <v>133544006</v>
          </cell>
          <cell r="C112" t="str">
            <v>HEREFORD REGIONAL MEDICAL CENTER</v>
          </cell>
          <cell r="D112">
            <v>1157673</v>
          </cell>
        </row>
        <row r="113">
          <cell r="A113" t="str">
            <v>450200</v>
          </cell>
          <cell r="B113" t="str">
            <v>133545705</v>
          </cell>
          <cell r="C113" t="str">
            <v>WADLEY REGIONAL MEDICAL CENTER</v>
          </cell>
          <cell r="D113">
            <v>14758940</v>
          </cell>
        </row>
        <row r="114">
          <cell r="A114" t="str">
            <v>450051</v>
          </cell>
          <cell r="B114" t="str">
            <v>135032405</v>
          </cell>
          <cell r="C114" t="str">
            <v>METHODIST DALLAS MEDICAL CENTER</v>
          </cell>
          <cell r="D114">
            <v>42346283</v>
          </cell>
        </row>
        <row r="115">
          <cell r="A115" t="str">
            <v>450370</v>
          </cell>
          <cell r="B115" t="str">
            <v>135033204</v>
          </cell>
          <cell r="C115" t="str">
            <v>COLUMBUS COMMUNITY HOSPITAL</v>
          </cell>
          <cell r="D115">
            <v>450168</v>
          </cell>
        </row>
        <row r="116">
          <cell r="A116" t="str">
            <v>450128</v>
          </cell>
          <cell r="B116" t="str">
            <v>135035706</v>
          </cell>
          <cell r="C116" t="str">
            <v>KNAPP MEDICAL CENTER</v>
          </cell>
          <cell r="D116">
            <v>42841661</v>
          </cell>
        </row>
        <row r="117">
          <cell r="A117" t="str">
            <v>450137</v>
          </cell>
          <cell r="B117" t="str">
            <v>135036506</v>
          </cell>
          <cell r="C117" t="str">
            <v>BAYLOR ALL SAINTS MEDICAL CENTER</v>
          </cell>
          <cell r="D117">
            <v>12583129</v>
          </cell>
        </row>
        <row r="118">
          <cell r="A118" t="str">
            <v>450108</v>
          </cell>
          <cell r="B118" t="str">
            <v>135151206</v>
          </cell>
          <cell r="C118" t="str">
            <v>CONNALLY MEMORIAL MEDICAL CENTER</v>
          </cell>
          <cell r="D118">
            <v>2270763</v>
          </cell>
        </row>
        <row r="119">
          <cell r="A119" t="str">
            <v>450187</v>
          </cell>
          <cell r="B119" t="str">
            <v>135226205</v>
          </cell>
          <cell r="C119" t="str">
            <v>TRINITY COMMUNITY MEDICAL CTR of BRENHAM</v>
          </cell>
          <cell r="D119">
            <v>1322124</v>
          </cell>
        </row>
        <row r="120">
          <cell r="A120" t="str">
            <v>450132</v>
          </cell>
          <cell r="B120" t="str">
            <v>135235306</v>
          </cell>
          <cell r="C120" t="str">
            <v>MEDICAL CENTER HOSPITAL</v>
          </cell>
          <cell r="D120">
            <v>33147614</v>
          </cell>
        </row>
        <row r="121">
          <cell r="A121" t="str">
            <v>450010</v>
          </cell>
          <cell r="B121" t="str">
            <v>135237906</v>
          </cell>
          <cell r="C121" t="str">
            <v>UNITED REGIONAL HEALTHCARE SYSTEM</v>
          </cell>
          <cell r="D121">
            <v>29111264</v>
          </cell>
        </row>
        <row r="122">
          <cell r="A122" t="str">
            <v>450213</v>
          </cell>
          <cell r="B122" t="str">
            <v>136141205</v>
          </cell>
          <cell r="C122" t="str">
            <v>BEXAR COUNTY HOSPITAL DISTRICT</v>
          </cell>
          <cell r="D122">
            <v>207622864</v>
          </cell>
        </row>
        <row r="123">
          <cell r="A123" t="str">
            <v>450133</v>
          </cell>
          <cell r="B123" t="str">
            <v>136143806</v>
          </cell>
          <cell r="C123" t="str">
            <v>MIDLAND MEMORIAL HOSPITAL</v>
          </cell>
          <cell r="D123">
            <v>22755558</v>
          </cell>
        </row>
        <row r="124">
          <cell r="A124" t="str">
            <v>451347</v>
          </cell>
          <cell r="B124" t="str">
            <v>136144610</v>
          </cell>
          <cell r="C124" t="str">
            <v>COLEMAN CO. MED. CTR.</v>
          </cell>
          <cell r="D124">
            <v>708174</v>
          </cell>
        </row>
        <row r="125">
          <cell r="A125" t="str">
            <v>451333</v>
          </cell>
          <cell r="B125">
            <v>136145310</v>
          </cell>
          <cell r="C125" t="str">
            <v>MARTIN COUNTY HOSPITAL DIST</v>
          </cell>
          <cell r="D125">
            <v>1897664</v>
          </cell>
        </row>
        <row r="126">
          <cell r="A126" t="str">
            <v>450073</v>
          </cell>
          <cell r="B126" t="str">
            <v>136330107</v>
          </cell>
          <cell r="C126" t="str">
            <v>D M COGDELL MEMORIAL HOSPITAL</v>
          </cell>
          <cell r="D126">
            <v>3728358</v>
          </cell>
        </row>
        <row r="127">
          <cell r="A127" t="str">
            <v>450654</v>
          </cell>
          <cell r="B127" t="str">
            <v>136332705</v>
          </cell>
          <cell r="C127" t="str">
            <v>STARR COUNTY MEMORIAL HOSP</v>
          </cell>
          <cell r="D127">
            <v>7061410</v>
          </cell>
        </row>
        <row r="128">
          <cell r="A128" t="str">
            <v>450033</v>
          </cell>
          <cell r="B128" t="str">
            <v>136361607</v>
          </cell>
          <cell r="C128" t="str">
            <v>VALLEY BAPTIST MEDICAL CENTER</v>
          </cell>
          <cell r="D128">
            <v>27152136</v>
          </cell>
        </row>
        <row r="129">
          <cell r="A129" t="str">
            <v>450163</v>
          </cell>
          <cell r="B129" t="str">
            <v>136436606</v>
          </cell>
          <cell r="C129" t="str">
            <v>CHRISTUS SPOHN HOSPITAL - KLEBERG</v>
          </cell>
          <cell r="D129">
            <v>5040506</v>
          </cell>
        </row>
        <row r="130">
          <cell r="A130" t="str">
            <v>450005</v>
          </cell>
          <cell r="B130" t="str">
            <v>136488705</v>
          </cell>
          <cell r="C130" t="str">
            <v>MEMORIAL HERMANN BAPTIST ORANGE HOSPITAL</v>
          </cell>
          <cell r="D130">
            <v>6477542</v>
          </cell>
        </row>
        <row r="131">
          <cell r="A131" t="str">
            <v>450697</v>
          </cell>
          <cell r="B131" t="str">
            <v>136491104</v>
          </cell>
          <cell r="C131" t="str">
            <v>SOUTHWEST GENERAL HOSPITAL</v>
          </cell>
          <cell r="D131">
            <v>6060647</v>
          </cell>
        </row>
        <row r="132">
          <cell r="A132" t="str">
            <v>450571</v>
          </cell>
          <cell r="B132" t="str">
            <v>137226005</v>
          </cell>
          <cell r="C132" t="str">
            <v>SHANNON MEDICAL CENTER</v>
          </cell>
          <cell r="D132">
            <v>18867230</v>
          </cell>
        </row>
        <row r="133">
          <cell r="A133" t="str">
            <v>451308</v>
          </cell>
          <cell r="B133" t="str">
            <v>137227806</v>
          </cell>
          <cell r="C133" t="str">
            <v>YOAKUM COUNTY HOSPITAL</v>
          </cell>
          <cell r="D133">
            <v>1376235</v>
          </cell>
        </row>
        <row r="134">
          <cell r="A134" t="str">
            <v>450209</v>
          </cell>
          <cell r="B134" t="str">
            <v>137245009</v>
          </cell>
          <cell r="C134" t="str">
            <v>NORTHWEST TEXAS HEATHCARE SYSTEM</v>
          </cell>
          <cell r="D134">
            <v>35259518</v>
          </cell>
        </row>
        <row r="135">
          <cell r="A135" t="str">
            <v>450054</v>
          </cell>
          <cell r="B135" t="str">
            <v>137249208</v>
          </cell>
          <cell r="C135" t="str">
            <v>SCOTT AND WHITE MEMORIAL HOSPITAL</v>
          </cell>
          <cell r="D135">
            <v>44594350</v>
          </cell>
        </row>
        <row r="136">
          <cell r="A136" t="str">
            <v>450124</v>
          </cell>
          <cell r="B136" t="str">
            <v>137265806</v>
          </cell>
          <cell r="C136" t="str">
            <v>UNIVERSITY MEDICAL CENTER at BRACKENRIDGE</v>
          </cell>
          <cell r="D136">
            <v>92989105</v>
          </cell>
        </row>
        <row r="137">
          <cell r="A137" t="str">
            <v>450296</v>
          </cell>
          <cell r="B137" t="str">
            <v>137279905</v>
          </cell>
          <cell r="C137" t="str">
            <v>CLEVELAND REGIONAL MEDICAL</v>
          </cell>
          <cell r="D137">
            <v>6547183</v>
          </cell>
        </row>
        <row r="138">
          <cell r="A138" t="str">
            <v>450580</v>
          </cell>
          <cell r="B138" t="str">
            <v>137319306</v>
          </cell>
          <cell r="C138" t="str">
            <v>EAST TEXAS MEDICAL CENTER-CROCKETT</v>
          </cell>
          <cell r="D138">
            <v>3197733</v>
          </cell>
        </row>
        <row r="139">
          <cell r="A139" t="str">
            <v>451300</v>
          </cell>
          <cell r="B139" t="str">
            <v>137343308</v>
          </cell>
          <cell r="C139" t="str">
            <v>PARMER COUNTY COMMUNITY HOSPITAL</v>
          </cell>
          <cell r="D139">
            <v>740945</v>
          </cell>
        </row>
        <row r="140">
          <cell r="A140" t="str">
            <v>450068</v>
          </cell>
          <cell r="B140" t="str">
            <v>137805107</v>
          </cell>
          <cell r="C140" t="str">
            <v>MEMORIAL HERMANN HOSPITAL - TMC</v>
          </cell>
          <cell r="D140">
            <v>119807625</v>
          </cell>
        </row>
        <row r="141">
          <cell r="A141" t="str">
            <v>451356</v>
          </cell>
          <cell r="B141" t="str">
            <v>137909111</v>
          </cell>
          <cell r="C141" t="str">
            <v>MEMORIAL MEDICAL CENTER-PORT LAVACA</v>
          </cell>
          <cell r="D141">
            <v>3041156</v>
          </cell>
        </row>
        <row r="142">
          <cell r="A142" t="str">
            <v>454000</v>
          </cell>
          <cell r="B142" t="str">
            <v>137918204</v>
          </cell>
          <cell r="C142" t="str">
            <v>BIG SPRING STATE HOSP</v>
          </cell>
          <cell r="D142">
            <v>35783156</v>
          </cell>
        </row>
        <row r="143">
          <cell r="A143" t="str">
            <v>454006</v>
          </cell>
          <cell r="B143" t="str">
            <v>137919003</v>
          </cell>
          <cell r="C143" t="str">
            <v>TERRELL STATE HOSPITAL</v>
          </cell>
          <cell r="D143">
            <v>60571153</v>
          </cell>
        </row>
        <row r="144">
          <cell r="A144" t="str">
            <v>450686</v>
          </cell>
          <cell r="B144" t="str">
            <v>137999206</v>
          </cell>
          <cell r="C144" t="str">
            <v>UNIVERSITY MEDICAL CENTER-LUBBOCK</v>
          </cell>
          <cell r="D144">
            <v>60073970</v>
          </cell>
        </row>
        <row r="145">
          <cell r="A145" t="str">
            <v>450034</v>
          </cell>
          <cell r="B145" t="str">
            <v>138296208</v>
          </cell>
          <cell r="C145" t="str">
            <v>CHRISTUS HOSPITAL</v>
          </cell>
          <cell r="D145">
            <v>47164211</v>
          </cell>
        </row>
        <row r="146">
          <cell r="A146" t="str">
            <v>450586</v>
          </cell>
          <cell r="B146" t="str">
            <v>138353107</v>
          </cell>
          <cell r="C146" t="str">
            <v>SEYMOUR HOSPITAL</v>
          </cell>
          <cell r="D146">
            <v>672742</v>
          </cell>
        </row>
        <row r="147">
          <cell r="A147" t="str">
            <v>450104</v>
          </cell>
          <cell r="B147" t="str">
            <v>138411709</v>
          </cell>
          <cell r="C147" t="str">
            <v>GUADALUPE VALLEY HOSPITAL</v>
          </cell>
          <cell r="D147">
            <v>8421729</v>
          </cell>
        </row>
        <row r="148">
          <cell r="A148" t="str">
            <v>450229</v>
          </cell>
          <cell r="B148" t="str">
            <v>138644310</v>
          </cell>
          <cell r="C148" t="str">
            <v>HENDRICK MEDICAL CENTER</v>
          </cell>
          <cell r="D148">
            <v>22320889</v>
          </cell>
        </row>
        <row r="149">
          <cell r="A149" t="str">
            <v>454011</v>
          </cell>
          <cell r="B149" t="str">
            <v>138706004</v>
          </cell>
          <cell r="C149" t="str">
            <v>SAN ANTONIO STATE HOSP</v>
          </cell>
          <cell r="D149">
            <v>54327108</v>
          </cell>
        </row>
        <row r="150">
          <cell r="A150" t="str">
            <v>451348</v>
          </cell>
          <cell r="B150" t="str">
            <v>138715115</v>
          </cell>
          <cell r="C150" t="str">
            <v>HEART OF TEXAS MEMORIAL HOSPITAL</v>
          </cell>
          <cell r="D150">
            <v>1053518</v>
          </cell>
        </row>
        <row r="151">
          <cell r="A151" t="str">
            <v>453302</v>
          </cell>
          <cell r="B151" t="str">
            <v>138910807</v>
          </cell>
          <cell r="C151" t="str">
            <v>CHILDREN'S MEDICAL CENTER-DALLAS</v>
          </cell>
          <cell r="D151">
            <v>60573943</v>
          </cell>
        </row>
        <row r="152">
          <cell r="A152" t="str">
            <v>450597</v>
          </cell>
          <cell r="B152" t="str">
            <v>138911609</v>
          </cell>
          <cell r="C152" t="str">
            <v>CUERO COMMUNITY HOSPITAL</v>
          </cell>
          <cell r="D152">
            <v>992915</v>
          </cell>
        </row>
        <row r="153">
          <cell r="A153" t="str">
            <v>450080</v>
          </cell>
          <cell r="B153" t="str">
            <v>138913209</v>
          </cell>
          <cell r="C153" t="str">
            <v>TITUS COUNTY MEMORIAL HOSPITAL</v>
          </cell>
          <cell r="D153">
            <v>3508825</v>
          </cell>
        </row>
        <row r="154">
          <cell r="A154" t="str">
            <v>450565</v>
          </cell>
          <cell r="B154" t="str">
            <v>138950412</v>
          </cell>
          <cell r="C154" t="str">
            <v>PALO PINTO GENERAL HOSPITAL</v>
          </cell>
          <cell r="D154">
            <v>2182634</v>
          </cell>
        </row>
        <row r="155">
          <cell r="A155" t="str">
            <v>450024</v>
          </cell>
          <cell r="B155" t="str">
            <v>138951211</v>
          </cell>
          <cell r="C155" t="str">
            <v>UNIVERSITY MEDICAL CENTER of EL PASO</v>
          </cell>
          <cell r="D155">
            <v>90149158</v>
          </cell>
        </row>
        <row r="156">
          <cell r="A156" t="str">
            <v>450101</v>
          </cell>
          <cell r="B156" t="str">
            <v>138962907</v>
          </cell>
          <cell r="C156" t="str">
            <v>HILLCREST BAPTIST MEDICAL CENTER</v>
          </cell>
          <cell r="D156">
            <v>21613131</v>
          </cell>
        </row>
        <row r="157">
          <cell r="A157" t="str">
            <v>453304</v>
          </cell>
          <cell r="B157" t="str">
            <v>139135109</v>
          </cell>
          <cell r="C157" t="str">
            <v>TEXAS CHILDREN'S HOSPITAL</v>
          </cell>
          <cell r="D157">
            <v>21707266</v>
          </cell>
        </row>
        <row r="158">
          <cell r="A158" t="str">
            <v>450389</v>
          </cell>
          <cell r="B158" t="str">
            <v>139173209</v>
          </cell>
          <cell r="C158" t="str">
            <v>EAST TEXAS MEDICAL CENTER-ATHENS</v>
          </cell>
          <cell r="D158">
            <v>10043486</v>
          </cell>
        </row>
        <row r="159">
          <cell r="A159" t="str">
            <v>450040</v>
          </cell>
          <cell r="B159" t="str">
            <v>139461107</v>
          </cell>
          <cell r="C159" t="str">
            <v>COVENANT HEALTH SYSTEM</v>
          </cell>
          <cell r="D159">
            <v>50015905</v>
          </cell>
        </row>
        <row r="160">
          <cell r="A160" t="str">
            <v>450021</v>
          </cell>
          <cell r="B160" t="str">
            <v>139485012</v>
          </cell>
          <cell r="C160" t="str">
            <v>BAYLOR UNIVERSITY MEDICAL CENTER</v>
          </cell>
          <cell r="D160">
            <v>85941904</v>
          </cell>
        </row>
        <row r="161">
          <cell r="A161" t="str">
            <v>451303</v>
          </cell>
          <cell r="B161" t="str">
            <v>140714001</v>
          </cell>
          <cell r="C161" t="str">
            <v>LIMESTONE MEDICAL CENTER</v>
          </cell>
          <cell r="D161">
            <v>1216791</v>
          </cell>
        </row>
        <row r="162">
          <cell r="A162" t="str">
            <v>451319</v>
          </cell>
          <cell r="B162" t="str">
            <v>141858401</v>
          </cell>
          <cell r="C162" t="str">
            <v>MOTHER FRANCES HOSP - JACKSONVILLE</v>
          </cell>
          <cell r="D162">
            <v>2211253</v>
          </cell>
        </row>
        <row r="163">
          <cell r="A163" t="str">
            <v>450795</v>
          </cell>
          <cell r="B163" t="str">
            <v>147714301</v>
          </cell>
          <cell r="C163" t="str">
            <v>ST. ANTHONY'S HOSPITAL</v>
          </cell>
          <cell r="D163">
            <v>1157682</v>
          </cell>
        </row>
        <row r="164">
          <cell r="A164" t="str">
            <v>450855</v>
          </cell>
          <cell r="B164" t="str">
            <v>154504801</v>
          </cell>
          <cell r="C164" t="str">
            <v>HARLINGEN MEDICAL CENTER</v>
          </cell>
          <cell r="D164">
            <v>5716041</v>
          </cell>
        </row>
        <row r="165">
          <cell r="A165" t="str">
            <v>450058</v>
          </cell>
          <cell r="B165" t="str">
            <v>159156201</v>
          </cell>
          <cell r="C165" t="str">
            <v>BAPTIST HEALTH SYSTEM</v>
          </cell>
          <cell r="D165">
            <v>38697018</v>
          </cell>
        </row>
        <row r="166">
          <cell r="A166" t="str">
            <v>450869</v>
          </cell>
          <cell r="B166" t="str">
            <v>160709501</v>
          </cell>
          <cell r="C166" t="str">
            <v>DOCTORS HOSPITAL AT RENAISSANCE</v>
          </cell>
          <cell r="D166">
            <v>426950</v>
          </cell>
        </row>
        <row r="167">
          <cell r="A167" t="e">
            <v>#N/A</v>
          </cell>
          <cell r="B167" t="str">
            <v>162033801</v>
          </cell>
          <cell r="C167" t="str">
            <v>LAREDO MEDICAL CENTER</v>
          </cell>
          <cell r="D167">
            <v>-1743710</v>
          </cell>
        </row>
        <row r="168">
          <cell r="A168" t="str">
            <v>450028</v>
          </cell>
          <cell r="B168" t="str">
            <v>165241401</v>
          </cell>
          <cell r="C168" t="str">
            <v>VALLEY BAPTIST MC - BROWNSVILLE</v>
          </cell>
          <cell r="D168">
            <v>17189526</v>
          </cell>
        </row>
        <row r="169">
          <cell r="A169" t="str">
            <v>670002</v>
          </cell>
          <cell r="B169" t="str">
            <v>174941801</v>
          </cell>
          <cell r="C169" t="str">
            <v>SOUTH HAMPTON COMMUNITY HOSPITAL</v>
          </cell>
          <cell r="D169">
            <v>5062324</v>
          </cell>
        </row>
        <row r="170">
          <cell r="A170" t="e">
            <v>#N/A</v>
          </cell>
          <cell r="B170" t="str">
            <v>175965601</v>
          </cell>
          <cell r="C170" t="str">
            <v>KINGWOOD PINES HOSPITAL</v>
          </cell>
          <cell r="D170">
            <v>-952998</v>
          </cell>
        </row>
        <row r="171">
          <cell r="A171" t="str">
            <v>670004</v>
          </cell>
          <cell r="B171" t="str">
            <v>176692501</v>
          </cell>
          <cell r="C171" t="str">
            <v>ST MARK'S MEDICAL CENTER</v>
          </cell>
          <cell r="D171">
            <v>1127295</v>
          </cell>
        </row>
        <row r="172">
          <cell r="A172" t="str">
            <v>450214</v>
          </cell>
          <cell r="B172" t="str">
            <v>178815001</v>
          </cell>
          <cell r="C172" t="str">
            <v>SIGNATURE GULF COAST HOSPITAL</v>
          </cell>
          <cell r="D172">
            <v>5376137</v>
          </cell>
        </row>
        <row r="173">
          <cell r="A173" t="str">
            <v>450099</v>
          </cell>
          <cell r="B173" t="str">
            <v>178848102</v>
          </cell>
          <cell r="C173" t="str">
            <v>PAMPA REGIONAL MEDICAL CENTER</v>
          </cell>
          <cell r="D173">
            <v>2172692</v>
          </cell>
        </row>
        <row r="174">
          <cell r="A174" t="str">
            <v>451304</v>
          </cell>
          <cell r="B174" t="str">
            <v>179272301</v>
          </cell>
          <cell r="C174" t="str">
            <v>SCHLEICHER COUNTY MEDICAL</v>
          </cell>
          <cell r="D174">
            <v>593227</v>
          </cell>
        </row>
        <row r="175">
          <cell r="A175" t="str">
            <v>450035</v>
          </cell>
          <cell r="B175" t="str">
            <v>181706601</v>
          </cell>
          <cell r="C175" t="str">
            <v>SJ MEDICAL CENTER LLC</v>
          </cell>
          <cell r="D175">
            <v>15445619</v>
          </cell>
        </row>
        <row r="176">
          <cell r="A176" t="e">
            <v>#N/A</v>
          </cell>
          <cell r="B176" t="str">
            <v>184076101</v>
          </cell>
          <cell r="C176" t="str">
            <v>HICKORY TRAIL HOSPITAL</v>
          </cell>
          <cell r="D176">
            <v>-343851</v>
          </cell>
        </row>
        <row r="177">
          <cell r="A177" t="str">
            <v>453310</v>
          </cell>
          <cell r="B177" t="str">
            <v>186599001</v>
          </cell>
          <cell r="C177" t="str">
            <v>DELL CHILDRENS MEDICAL CENTER</v>
          </cell>
          <cell r="D177">
            <v>3641033</v>
          </cell>
        </row>
        <row r="178">
          <cell r="A178" t="str">
            <v>450347</v>
          </cell>
          <cell r="B178" t="str">
            <v>189791001</v>
          </cell>
          <cell r="C178" t="str">
            <v>HUNTSVILLE MEMORIAL HOSPITAL</v>
          </cell>
          <cell r="D178">
            <v>2269803</v>
          </cell>
        </row>
        <row r="179">
          <cell r="A179" t="str">
            <v>450489</v>
          </cell>
          <cell r="B179" t="str">
            <v>189947801</v>
          </cell>
          <cell r="C179" t="str">
            <v>MEDICAL ARTS HOSPITAL</v>
          </cell>
          <cell r="D179">
            <v>1667411</v>
          </cell>
        </row>
        <row r="180">
          <cell r="A180" t="str">
            <v>450324</v>
          </cell>
          <cell r="B180" t="str">
            <v>194997601</v>
          </cell>
          <cell r="C180" t="str">
            <v>TEXOMA MEDICAL CENTER INC</v>
          </cell>
          <cell r="D180">
            <v>11496553</v>
          </cell>
        </row>
        <row r="181">
          <cell r="A181" t="str">
            <v>451369</v>
          </cell>
          <cell r="B181" t="str">
            <v>197063401</v>
          </cell>
          <cell r="C181" t="str">
            <v>GOLDEN PLAINS COMMUNITY HOSPITAL</v>
          </cell>
          <cell r="D181">
            <v>2164781</v>
          </cell>
        </row>
        <row r="182">
          <cell r="A182" t="str">
            <v>450747</v>
          </cell>
          <cell r="B182">
            <v>121816602</v>
          </cell>
          <cell r="C182" t="str">
            <v>PALESTINE REGIONAL MEDICAL</v>
          </cell>
          <cell r="D182">
            <v>5053357</v>
          </cell>
        </row>
        <row r="183">
          <cell r="A183" t="str">
            <v>450042</v>
          </cell>
          <cell r="B183" t="str">
            <v>121831504</v>
          </cell>
          <cell r="C183" t="str">
            <v>DEPAUL CENTER</v>
          </cell>
          <cell r="D183">
            <v>1457932</v>
          </cell>
        </row>
        <row r="184">
          <cell r="A184" t="str">
            <v>451330</v>
          </cell>
          <cell r="B184" t="str">
            <v>133260309</v>
          </cell>
          <cell r="C184" t="str">
            <v>MEDINA COMMUNITY HOSPITAL</v>
          </cell>
          <cell r="D184">
            <v>2163670</v>
          </cell>
        </row>
        <row r="185">
          <cell r="A185" t="str">
            <v>450755</v>
          </cell>
          <cell r="B185" t="str">
            <v>133258705</v>
          </cell>
          <cell r="C185" t="str">
            <v>METHODIST HOSPITAL-LEVELLAND</v>
          </cell>
          <cell r="D185">
            <v>2447655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Y24_JG"/>
      <sheetName val="Complete list_JG"/>
      <sheetName val="Compare to FY23"/>
      <sheetName val="SFY23"/>
      <sheetName val="List for Actuarial"/>
      <sheetName val="Enrollment"/>
      <sheetName val="PGY6 Providers"/>
      <sheetName val="Unknown NPIs"/>
      <sheetName val="Application Fee"/>
      <sheetName val="Removed"/>
      <sheetName val="2023 Master TPI List"/>
      <sheetName val="2023 Provider List"/>
      <sheetName val="SDA by County"/>
      <sheetName val="Class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RSA West"/>
      <sheetName val="Participants"/>
      <sheetName val="Sheet3"/>
      <sheetName val="95% Class Test"/>
      <sheetName val="IGT Sufficiency"/>
      <sheetName val="Hospital Classes"/>
      <sheetName val="MRSA West Actuarial Adjustment"/>
      <sheetName val="Budget Neutrality Adjustment"/>
      <sheetName val="MRSA West Application - 95% C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Non-urban Public Hospital</v>
          </cell>
        </row>
        <row r="3">
          <cell r="B3" t="str">
            <v>Rural Private Hospital</v>
          </cell>
        </row>
        <row r="4">
          <cell r="B4" t="str">
            <v>Rural Public Hospital</v>
          </cell>
        </row>
        <row r="5">
          <cell r="B5" t="str">
            <v>State-owned Hospital</v>
          </cell>
        </row>
        <row r="6">
          <cell r="B6" t="str">
            <v>Urban Public Hospital</v>
          </cell>
        </row>
        <row r="7">
          <cell r="B7" t="str">
            <v>Children's Hospital</v>
          </cell>
        </row>
        <row r="8">
          <cell r="B8" t="str">
            <v>Institution for Mental Disease</v>
          </cell>
        </row>
        <row r="9">
          <cell r="B9" t="str">
            <v>Other</v>
          </cell>
        </row>
      </sheetData>
      <sheetData sheetId="6" refreshError="1"/>
      <sheetData sheetId="7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ttestation"/>
      <sheetName val="Overview &amp; Instructions"/>
      <sheetName val="Data Dictionary"/>
      <sheetName val="Required State Input"/>
      <sheetName val="IP Cost"/>
      <sheetName val="IP Payment"/>
      <sheetName val="IP DRG"/>
      <sheetName val="IP Per Diem"/>
      <sheetName val="UPL Demonstration Summary"/>
      <sheetName val="_Controls"/>
      <sheetName val="LKUP"/>
      <sheetName val="Optional_Sheet_1"/>
      <sheetName val="Optional_Sheet_2"/>
      <sheetName val="Optional_Sheet_3"/>
      <sheetName val="Optional_Sheet_4"/>
      <sheetName val="Optional_Sheet_5"/>
      <sheetName val="Optional_Sheet_6"/>
      <sheetName val="Optional_Sheet_7"/>
      <sheetName val="Optional_Sheet_8"/>
      <sheetName val="Optional_Sheet_9"/>
      <sheetName val="Optional_Sheet_10"/>
      <sheetName val="Optional_Sheet_11"/>
      <sheetName val="Optional_Sheet_12"/>
      <sheetName val="Optional_Sheet_13"/>
      <sheetName val="Optional_Sheet_14"/>
      <sheetName val="Optional_Sheet_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C4">
            <v>421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"/>
      <sheetName val="Claims Data"/>
      <sheetName val="Enrollment Data"/>
      <sheetName val="Assumptions"/>
      <sheetName val="Exhibit 1"/>
      <sheetName val="Exhibit 2"/>
      <sheetName val="Exhibit 3"/>
      <sheetName val="Exhibit 4.1"/>
      <sheetName val="Exhibit 4.2"/>
      <sheetName val="dis00"/>
      <sheetName val="Checks"/>
    </sheetNames>
    <sheetDataSet>
      <sheetData sheetId="0" refreshError="1"/>
      <sheetData sheetId="1" refreshError="1"/>
      <sheetData sheetId="2" refreshError="1"/>
      <sheetData sheetId="3">
        <row r="14">
          <cell r="A14" t="str">
            <v>IP Hospital</v>
          </cell>
          <cell r="C14">
            <v>0.05</v>
          </cell>
          <cell r="D14">
            <v>1.1766058325577948</v>
          </cell>
        </row>
        <row r="15">
          <cell r="A15" t="str">
            <v>OP Hospital</v>
          </cell>
          <cell r="C15">
            <v>0.05</v>
          </cell>
          <cell r="D15">
            <v>1.1766058325577948</v>
          </cell>
        </row>
        <row r="16">
          <cell r="A16" t="str">
            <v>Physician</v>
          </cell>
          <cell r="C16">
            <v>0.05</v>
          </cell>
          <cell r="D16">
            <v>1.1766058325577948</v>
          </cell>
        </row>
        <row r="17">
          <cell r="A17" t="str">
            <v>LTC</v>
          </cell>
          <cell r="C17">
            <v>0.05</v>
          </cell>
          <cell r="D17">
            <v>1.1766058325577948</v>
          </cell>
        </row>
        <row r="18">
          <cell r="A18" t="str">
            <v>Physician Supplier</v>
          </cell>
          <cell r="C18">
            <v>0.05</v>
          </cell>
          <cell r="D18">
            <v>1.1766058325577948</v>
          </cell>
        </row>
        <row r="19">
          <cell r="A19" t="str">
            <v>Dental</v>
          </cell>
          <cell r="C19">
            <v>0.05</v>
          </cell>
          <cell r="D19">
            <v>1.1766058325577948</v>
          </cell>
        </row>
        <row r="25">
          <cell r="L25">
            <v>0.2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s"/>
      <sheetName val="assumptions"/>
      <sheetName val="Bexar"/>
      <sheetName val="Dallas"/>
      <sheetName val="El Paso"/>
      <sheetName val="Harris"/>
      <sheetName val="Hidalgo"/>
      <sheetName val="Jefferson"/>
      <sheetName val="Lubbock"/>
      <sheetName val="MRSA Central"/>
      <sheetName val="MRSA Northeast"/>
      <sheetName val="MRSA West"/>
      <sheetName val="Nueces"/>
      <sheetName val="Tarrant"/>
      <sheetName val="Travis"/>
    </sheetNames>
    <sheetDataSet>
      <sheetData sheetId="0">
        <row r="7">
          <cell r="B7">
            <v>8.2900000000000001E-2</v>
          </cell>
        </row>
      </sheetData>
      <sheetData sheetId="1">
        <row r="7">
          <cell r="B7">
            <v>8.2900000000000001E-2</v>
          </cell>
        </row>
        <row r="8">
          <cell r="B8">
            <v>8.5400000000000004E-2</v>
          </cell>
        </row>
      </sheetData>
      <sheetData sheetId="2">
        <row r="5">
          <cell r="A5" t="str">
            <v>Childrens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 t="str">
            <v>Childrens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"/>
      <sheetName val="Cost Summary"/>
      <sheetName val="Adjustments Summary"/>
      <sheetName val="Schedule 1"/>
      <sheetName val="Schedule 2 "/>
      <sheetName val="Schedule 3"/>
      <sheetName val="Hospital Data"/>
      <sheetName val="Hospital Data 2"/>
      <sheetName val="Sched3-Cost Rept Collection"/>
      <sheetName val="Sched3-Cost Rept Hospital Costs"/>
      <sheetName val="Sched3-Cost Rept Uninsured Cost"/>
      <sheetName val="Sched3-CostReptUninsured(IMDEx)"/>
      <sheetName val="Sched 3-HSL"/>
      <sheetName val="Sched 3-HSL No Other Insurance"/>
      <sheetName val="Sched 3-HSL(IMD Exclusion)"/>
      <sheetName val="Sched 3-HSL(IMD Exclusion)No OI"/>
      <sheetName val="Sched3HSL prepopdata"/>
      <sheetName val="2017 Medicaid Claims Data"/>
      <sheetName val="CPart I B Part I A-8-2"/>
      <sheetName val="Sched 3 HSL DSH Report"/>
      <sheetName val="UC Report"/>
      <sheetName val="Hospital Data Report"/>
      <sheetName val="Historical Medicaid &amp; Uninsured"/>
      <sheetName val="PrePop"/>
      <sheetName val="Data All Providers 2017"/>
      <sheetName val="HCRIS data"/>
      <sheetName val="MasterContactListDY5"/>
      <sheetName val="2017 Hospital Contacts"/>
      <sheetName val="Trauma"/>
      <sheetName val="B Part I Col 24"/>
      <sheetName val="C Part I 4"/>
      <sheetName val="C Part I 6"/>
      <sheetName val="C Part I 7"/>
      <sheetName val="WS S-3 PartI 28"/>
      <sheetName val="C Part I 8"/>
      <sheetName val="C Part I 9"/>
      <sheetName val="DY 6 Census Swing"/>
      <sheetName val="GME Payments2015"/>
      <sheetName val="Master TPI 2016"/>
      <sheetName val="Organ Acquisition"/>
      <sheetName val="Days Summary"/>
      <sheetName val="HSL"/>
      <sheetName val="Shortfalls"/>
      <sheetName val="MCO Day Adjustment (subtract)"/>
      <sheetName val="FFS Day Adjustment (subtract)"/>
      <sheetName val="FFS PPE Adjustment (add)"/>
      <sheetName val=" MCO PPE Adjustment (add)"/>
      <sheetName val="OP FFS Rural Adj (add)"/>
      <sheetName val="OP MCO Rural Adjustment (add)"/>
      <sheetName val="SDA Adjustment Percentages"/>
      <sheetName val="Positive Days Adjustment"/>
      <sheetName val=" Cost Report Settl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6"/>
      <sheetName val="A7I"/>
      <sheetName val="A7III"/>
      <sheetName val="A8"/>
      <sheetName val="A81"/>
      <sheetName val="A82"/>
      <sheetName val="A83I"/>
      <sheetName val="A83III"/>
      <sheetName val="A83V"/>
      <sheetName val="A8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ttestation"/>
      <sheetName val="Overview &amp; Instructions"/>
      <sheetName val="Data Dictionary"/>
      <sheetName val="Required State Input"/>
      <sheetName val="IMD"/>
      <sheetName val="UPL Demonstration Summary"/>
      <sheetName val="_Controls"/>
      <sheetName val="LKUP"/>
      <sheetName val="Optional_Sheet_1"/>
      <sheetName val="Optional_Sheet_2"/>
      <sheetName val="Optional_Sheet_3"/>
      <sheetName val="Optional_Sheet_4"/>
      <sheetName val="Optional_Sheet_5"/>
      <sheetName val="Optional_Sheet_6"/>
      <sheetName val="Optional_Sheet_7"/>
      <sheetName val="Optional_Sheet_8"/>
      <sheetName val="Optional_Sheet_9"/>
      <sheetName val="Optional_Sheet_10"/>
      <sheetName val="Optional_Sheet_11"/>
      <sheetName val="Optional_Sheet_12"/>
      <sheetName val="Optional_Sheet_13"/>
      <sheetName val="Optional_Sheet_14"/>
      <sheetName val="Optional_Sheet_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>
            <v>43</v>
          </cell>
        </row>
        <row r="4">
          <cell r="C4">
            <v>43</v>
          </cell>
        </row>
        <row r="23">
          <cell r="C23" t="b">
            <v>0</v>
          </cell>
        </row>
      </sheetData>
      <sheetData sheetId="7">
        <row r="7">
          <cell r="B7" t="str">
            <v>AL</v>
          </cell>
          <cell r="D7" t="str">
            <v>IMD</v>
          </cell>
          <cell r="F7" t="str">
            <v>Cost</v>
          </cell>
          <cell r="H7" t="str">
            <v>Private</v>
          </cell>
          <cell r="J7" t="str">
            <v>Retrospective</v>
          </cell>
        </row>
        <row r="8">
          <cell r="B8" t="str">
            <v>AK</v>
          </cell>
          <cell r="F8" t="str">
            <v>Charge</v>
          </cell>
          <cell r="H8" t="str">
            <v>NSGO</v>
          </cell>
          <cell r="J8" t="str">
            <v>Prospective</v>
          </cell>
          <cell r="O8">
            <v>2</v>
          </cell>
        </row>
        <row r="9">
          <cell r="B9" t="str">
            <v>AZ</v>
          </cell>
          <cell r="F9" t="str">
            <v>Payment</v>
          </cell>
          <cell r="H9" t="str">
            <v>SGO</v>
          </cell>
          <cell r="O9">
            <v>2</v>
          </cell>
        </row>
        <row r="10">
          <cell r="B10" t="str">
            <v>AR</v>
          </cell>
          <cell r="O10">
            <v>2</v>
          </cell>
        </row>
        <row r="11">
          <cell r="B11" t="str">
            <v>CA</v>
          </cell>
          <cell r="O11">
            <v>5</v>
          </cell>
        </row>
        <row r="12">
          <cell r="B12" t="str">
            <v>CO</v>
          </cell>
        </row>
        <row r="13">
          <cell r="B13" t="str">
            <v>CT</v>
          </cell>
        </row>
        <row r="14">
          <cell r="B14" t="str">
            <v>DE</v>
          </cell>
        </row>
        <row r="15">
          <cell r="B15" t="str">
            <v>DC</v>
          </cell>
        </row>
        <row r="16">
          <cell r="B16" t="str">
            <v>FL</v>
          </cell>
        </row>
        <row r="17">
          <cell r="B17" t="str">
            <v>GA</v>
          </cell>
        </row>
        <row r="18">
          <cell r="B18" t="str">
            <v>GU</v>
          </cell>
        </row>
        <row r="19">
          <cell r="B19" t="str">
            <v>HI</v>
          </cell>
        </row>
        <row r="20">
          <cell r="B20" t="str">
            <v>ID</v>
          </cell>
        </row>
        <row r="21">
          <cell r="B21" t="str">
            <v>IL</v>
          </cell>
        </row>
        <row r="22">
          <cell r="B22" t="str">
            <v>IN</v>
          </cell>
        </row>
        <row r="23">
          <cell r="B23" t="str">
            <v>IA</v>
          </cell>
        </row>
        <row r="24">
          <cell r="B24" t="str">
            <v>KS</v>
          </cell>
        </row>
        <row r="25">
          <cell r="B25" t="str">
            <v>KY</v>
          </cell>
        </row>
        <row r="26">
          <cell r="B26" t="str">
            <v>LA</v>
          </cell>
        </row>
        <row r="27">
          <cell r="B27" t="str">
            <v>ME</v>
          </cell>
        </row>
        <row r="28">
          <cell r="B28" t="str">
            <v>MD</v>
          </cell>
        </row>
        <row r="29">
          <cell r="B29" t="str">
            <v>MA</v>
          </cell>
        </row>
        <row r="30">
          <cell r="B30" t="str">
            <v>MI</v>
          </cell>
        </row>
        <row r="31">
          <cell r="B31" t="str">
            <v>MN</v>
          </cell>
        </row>
        <row r="32">
          <cell r="B32" t="str">
            <v>MS</v>
          </cell>
        </row>
        <row r="33">
          <cell r="B33" t="str">
            <v>MO</v>
          </cell>
        </row>
        <row r="34">
          <cell r="B34" t="str">
            <v>MT</v>
          </cell>
        </row>
        <row r="35">
          <cell r="B35" t="str">
            <v>NE</v>
          </cell>
        </row>
        <row r="36">
          <cell r="B36" t="str">
            <v>NV</v>
          </cell>
        </row>
        <row r="37">
          <cell r="B37" t="str">
            <v>NH</v>
          </cell>
        </row>
        <row r="38">
          <cell r="B38" t="str">
            <v>NJ</v>
          </cell>
        </row>
        <row r="39">
          <cell r="B39" t="str">
            <v>NM</v>
          </cell>
        </row>
        <row r="40">
          <cell r="B40" t="str">
            <v>NY</v>
          </cell>
        </row>
        <row r="41">
          <cell r="B41" t="str">
            <v>NC</v>
          </cell>
        </row>
        <row r="42">
          <cell r="B42" t="str">
            <v>ND</v>
          </cell>
        </row>
        <row r="43">
          <cell r="B43" t="str">
            <v>OH</v>
          </cell>
        </row>
        <row r="44">
          <cell r="B44" t="str">
            <v>OK</v>
          </cell>
        </row>
        <row r="45">
          <cell r="B45" t="str">
            <v>OR</v>
          </cell>
        </row>
        <row r="46">
          <cell r="B46" t="str">
            <v>PA</v>
          </cell>
        </row>
        <row r="47">
          <cell r="B47" t="str">
            <v>PR</v>
          </cell>
        </row>
        <row r="48">
          <cell r="B48" t="str">
            <v>RI</v>
          </cell>
        </row>
        <row r="49">
          <cell r="B49" t="str">
            <v>SC</v>
          </cell>
        </row>
        <row r="50">
          <cell r="B50" t="str">
            <v>SD</v>
          </cell>
        </row>
        <row r="51">
          <cell r="B51" t="str">
            <v>TN</v>
          </cell>
        </row>
        <row r="52">
          <cell r="B52" t="str">
            <v>TX</v>
          </cell>
        </row>
        <row r="53">
          <cell r="B53" t="str">
            <v>UT</v>
          </cell>
        </row>
        <row r="54">
          <cell r="B54" t="str">
            <v>VT</v>
          </cell>
        </row>
        <row r="55">
          <cell r="B55" t="str">
            <v>VA</v>
          </cell>
        </row>
        <row r="56">
          <cell r="B56" t="str">
            <v>VI</v>
          </cell>
        </row>
        <row r="57">
          <cell r="B57" t="str">
            <v>WA</v>
          </cell>
        </row>
        <row r="58">
          <cell r="B58" t="str">
            <v>WV</v>
          </cell>
        </row>
        <row r="59">
          <cell r="B59" t="str">
            <v>WI</v>
          </cell>
        </row>
        <row r="60">
          <cell r="B60" t="str">
            <v>WY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ttestation"/>
      <sheetName val="Overview &amp; Instructions"/>
      <sheetName val="Data Dictionary"/>
      <sheetName val="Required State Input"/>
      <sheetName val="IP Cost"/>
      <sheetName val="IP Payment"/>
      <sheetName val="IP DRG"/>
      <sheetName val="IP Per Diem"/>
      <sheetName val="UPL Demonstration Summary"/>
      <sheetName val="_Controls"/>
      <sheetName val="LKUP"/>
      <sheetName val="Optional_Sheet_1"/>
      <sheetName val="Optional_Sheet_2"/>
      <sheetName val="Optional_Sheet_3"/>
      <sheetName val="Optional_Sheet_4"/>
      <sheetName val="Optional_Sheet_5"/>
      <sheetName val="Optional_Sheet_6"/>
      <sheetName val="Optional_Sheet_7"/>
      <sheetName val="Optional_Sheet_8"/>
      <sheetName val="Optional_Sheet_9"/>
      <sheetName val="Optional_Sheet_10"/>
      <sheetName val="Optional_Sheet_11"/>
      <sheetName val="Optional_Sheet_12"/>
      <sheetName val="Optional_Sheet_13"/>
      <sheetName val="Optional_Sheet_14"/>
      <sheetName val="Optional_Sheet_15"/>
    </sheetNames>
    <sheetDataSet>
      <sheetData sheetId="0"/>
      <sheetData sheetId="1"/>
      <sheetData sheetId="2"/>
      <sheetData sheetId="3"/>
      <sheetData sheetId="4"/>
      <sheetData sheetId="5">
        <row r="12">
          <cell r="H12" t="str">
            <v>670129</v>
          </cell>
        </row>
      </sheetData>
      <sheetData sheetId="6"/>
      <sheetData sheetId="7"/>
      <sheetData sheetId="8"/>
      <sheetData sheetId="9"/>
      <sheetData sheetId="10">
        <row r="7">
          <cell r="N7" t="str">
            <v>Filed</v>
          </cell>
        </row>
        <row r="8">
          <cell r="N8" t="str">
            <v>Settled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UPL"/>
      <sheetName val="Henry3"/>
      <sheetName val="DIS00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ar"/>
      <sheetName val="Analysis"/>
      <sheetName val="Hospital Classes"/>
      <sheetName val="IGT Sufficiency"/>
      <sheetName val="Bexar Actuarial Adjustment"/>
      <sheetName val="Budget Neutrality Adjustment"/>
      <sheetName val="Data Validation"/>
    </sheetNames>
    <sheetDataSet>
      <sheetData sheetId="0">
        <row r="19">
          <cell r="M19">
            <v>154840451.74021089</v>
          </cell>
        </row>
      </sheetData>
      <sheetData sheetId="1"/>
      <sheetData sheetId="2"/>
      <sheetData sheetId="3"/>
      <sheetData sheetId="4">
        <row r="19">
          <cell r="M19">
            <v>154840451.74021089</v>
          </cell>
        </row>
      </sheetData>
      <sheetData sheetId="5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Progress Summary"/>
      <sheetName val="Macros"/>
      <sheetName val="1 - Imported Files"/>
      <sheetName val="0 - Template Checks"/>
      <sheetName val="Checks"/>
      <sheetName val="2 - Report Card"/>
      <sheetName val="Application Tracker"/>
      <sheetName val="UC Summary"/>
      <sheetName val="3 - Review Tracker"/>
      <sheetName val="HSL Info"/>
      <sheetName val="DSH QUAL."/>
      <sheetName val="Contact Info"/>
      <sheetName val="SCH 2 SUM"/>
      <sheetName val="Certification"/>
      <sheetName val="Cost Summary"/>
      <sheetName val="Adjustments Summary"/>
      <sheetName val="Schedule 1"/>
      <sheetName val="Schedule 2 "/>
      <sheetName val="Schedule 3"/>
      <sheetName val="Sched3-DSH2013Application"/>
      <sheetName val="HHSC Requested info."/>
      <sheetName val="HHSC Requested info. 2"/>
      <sheetName val="Sched3-Cost Rept Collection"/>
      <sheetName val="Sched3-Cost Rept Hospital Costs"/>
      <sheetName val="Sched3-Cost Rept Uninsured Cost"/>
      <sheetName val="Sched 3-HSL"/>
      <sheetName val="Sched 3-HSL (UC)"/>
      <sheetName val="DSH"/>
      <sheetName val="Pharmacies"/>
      <sheetName val="NonDSH 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L3" t="str">
            <v>Non-DSH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0 - List of Template Checks"/>
      <sheetName val="STEP 1 - Module"/>
      <sheetName val="1 - List of Imported Files"/>
      <sheetName val="2 - Report Card"/>
      <sheetName val="3 - Review Tracker"/>
      <sheetName val="UC Payments"/>
      <sheetName val="Checks"/>
      <sheetName val="Certification Check"/>
      <sheetName val="Data -&gt;"/>
      <sheetName val="Certification"/>
      <sheetName val="Cost Summary"/>
      <sheetName val="Sched1-Instructions"/>
      <sheetName val="Cost Center Crosswalk"/>
      <sheetName val="Schedule 1"/>
      <sheetName val="Schedule 2"/>
      <sheetName val="Schedule 3"/>
      <sheetName val="Sched3-Instructions"/>
      <sheetName val="Sched3-Cost Rept Collection"/>
      <sheetName val="Sched3-DSH2012Application"/>
      <sheetName val="Sched3-Cost Rept Hospital Costs"/>
      <sheetName val="Sched3-Cost Rept Uninsured Cost"/>
      <sheetName val="Sched3-DSH HSL"/>
      <sheetName val="DSH2012 HOSPITAL COSTRPTPERIOD"/>
      <sheetName val="Non-DSH"/>
      <sheetName val="DSH"/>
      <sheetName val="Pharmacies"/>
      <sheetName val="Dsh Data for UC Pay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J3" t="str">
            <v>DSH</v>
          </cell>
        </row>
        <row r="35">
          <cell r="F35" t="str">
            <v>NA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 Final Reconciliation"/>
      <sheetName val="UC Final Reconciliation wo OI"/>
      <sheetName val="UC Final Recon wo OI and MCR"/>
      <sheetName val="IMD"/>
      <sheetName val="Other Payments"/>
      <sheetName val="Provider List"/>
      <sheetName val="DSH Results w Addendum"/>
      <sheetName val="TPL Analysis"/>
      <sheetName val="Austin Summary"/>
      <sheetName val="Big Spring Summary"/>
      <sheetName val="El Paso Summary"/>
      <sheetName val="North Texas Summary"/>
      <sheetName val="Rio Grande Summary"/>
      <sheetName val="Rusk Summary"/>
      <sheetName val="San Antonio Summary"/>
      <sheetName val="Terrell Summary"/>
    </sheetNames>
    <sheetDataSet>
      <sheetData sheetId="0" refreshError="1"/>
      <sheetData sheetId="1" refreshError="1"/>
      <sheetData sheetId="2"/>
      <sheetData sheetId="3">
        <row r="3">
          <cell r="A3">
            <v>454000</v>
          </cell>
        </row>
      </sheetData>
      <sheetData sheetId="4" refreshError="1"/>
      <sheetData sheetId="5">
        <row r="2">
          <cell r="B2">
            <v>450558</v>
          </cell>
        </row>
      </sheetData>
      <sheetData sheetId="6">
        <row r="5">
          <cell r="C5">
            <v>450002</v>
          </cell>
        </row>
      </sheetData>
      <sheetData sheetId="7" refreshError="1"/>
      <sheetData sheetId="8">
        <row r="22">
          <cell r="N22">
            <v>40817</v>
          </cell>
          <cell r="P22">
            <v>41182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uban,Holly (HHSC)" id="{A0DBCE63-BEF6-4125-B7E5-6817BC8FEA07}" userId="Duban,Holly (HHSC)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13" dT="2023-03-22T17:13:56.32" personId="{A0DBCE63-BEF6-4125-B7E5-6817BC8FEA07}" id="{812488E2-CF0F-4C92-88FC-5640C3714B06}">
    <text>Provider-submitted NPI was not found. 11154315307 was on the Active Provider List.</text>
  </threadedComment>
  <threadedComment ref="D370" dT="2023-03-22T17:16:40.25" personId="{A0DBCE63-BEF6-4125-B7E5-6817BC8FEA07}" id="{4C6C9224-8AF0-45CA-A956-BC65A9CE91AF}">
    <text>Provider-submitted NPI was not found. 1699772541 was on Active Provider List.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xhhs.sharepoint.com/:x:/r/sites/pf/hs/RAH%20Master%20TPI%20List/2023%20DSH_UC%20Master%20TPI%20List_Final.xlsx?d=we852181eeca64e33973cb33e0ad0a59d&amp;csf=1&amp;web=1&amp;e=1t85Nf" TargetMode="External"/><Relationship Id="rId2" Type="http://schemas.openxmlformats.org/officeDocument/2006/relationships/hyperlink" Target="https://txhhs.sharepoint.com/:x:/r/sites/pf/hs/RAH_ShareDrive/Supplemental%20Payments/Rate%20Analysis%20-%20UHRIP%20-%20CHIRP/PGY7%20-%20CHIRP/Applications%20and%20Enrollment/2024%20CHIRP%20Enrollment%20Working%20File.xlsx?d=w3f1935f047904003b4dae744dd87ead8&amp;csf=1&amp;web=1&amp;e=Jc2ar2" TargetMode="External"/><Relationship Id="rId1" Type="http://schemas.openxmlformats.org/officeDocument/2006/relationships/hyperlink" Target="https://txhhs.sharepoint.com/:x:/r/sites/pf/hs/RAH_ShareDrive/HRA/IP%20Services/SDA%20Verification/2023%20SDA%20Verification/FY%202023%20SDA%20Verification%20Final%20Posting.xlsx?d=w3bd9dbb7190f40d681a5290f1e248b62&amp;csf=1&amp;web=1&amp;e=aF94Tt" TargetMode="External"/><Relationship Id="rId5" Type="http://schemas.openxmlformats.org/officeDocument/2006/relationships/hyperlink" Target="https://txhhs.sharepoint.com/:x:/r/sites/pf/hs/RAH_ShareDrive/Supplemental%20Payments/Rate%20Analysis%20-%20UHRIP%20-%20CHIRP/PGY7%20-%20CHIRP/Files%20from%20Actuarial/SFY24%20CHIRP%20Preliminary%20Estimates%202023.05.04.xlsx?d=w57f0f4d5840d49b5bac8b9e51db8a2d3&amp;csf=1&amp;web=1&amp;e=kZrWZB" TargetMode="External"/><Relationship Id="rId4" Type="http://schemas.openxmlformats.org/officeDocument/2006/relationships/hyperlink" Target="https://txhhs.sharepoint.com/:x:/r/sites/pf/hs/RAH_ShareDrive/HRA/UPL/IP%26OP%20MCO%20UPL%20for%20UHRIP/2023%20UPLs%20without%20UHRIP/Supplemental%20Payments%202023%20CHIRP%20Data.xlsx?d=w2b4d92d2cf5940fa8d08e9d07a8f6637&amp;csf=1&amp;web=1&amp;e=eTq8CK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90A6B-E85A-49A3-A9B0-1E35B0E47BAA}">
  <dimension ref="A1:A36"/>
  <sheetViews>
    <sheetView workbookViewId="0">
      <selection activeCell="H5" sqref="H5"/>
    </sheetView>
  </sheetViews>
  <sheetFormatPr defaultRowHeight="15"/>
  <cols>
    <col min="1" max="1" width="26" customWidth="1"/>
  </cols>
  <sheetData>
    <row r="1" spans="1:1">
      <c r="A1" t="s">
        <v>3241</v>
      </c>
    </row>
    <row r="2" spans="1:1">
      <c r="A2" s="136" t="s">
        <v>3242</v>
      </c>
    </row>
    <row r="3" spans="1:1">
      <c r="A3" s="172" t="s">
        <v>3422</v>
      </c>
    </row>
    <row r="4" spans="1:1">
      <c r="A4" s="173" t="s">
        <v>3423</v>
      </c>
    </row>
    <row r="5" spans="1:1" ht="30">
      <c r="A5" s="174" t="s">
        <v>3762</v>
      </c>
    </row>
    <row r="7" spans="1:1">
      <c r="A7" t="s">
        <v>3280</v>
      </c>
    </row>
    <row r="8" spans="1:1">
      <c r="A8" s="206" t="s">
        <v>3624</v>
      </c>
    </row>
    <row r="9" spans="1:1">
      <c r="A9" s="140" t="s">
        <v>3747</v>
      </c>
    </row>
    <row r="10" spans="1:1">
      <c r="A10" s="206" t="s">
        <v>3746</v>
      </c>
    </row>
    <row r="11" spans="1:1" s="9" customFormat="1">
      <c r="A11" s="140" t="s">
        <v>3745</v>
      </c>
    </row>
    <row r="12" spans="1:1" s="9" customFormat="1">
      <c r="A12" s="140" t="s">
        <v>3757</v>
      </c>
    </row>
    <row r="14" spans="1:1">
      <c r="A14" s="1" t="s">
        <v>2930</v>
      </c>
    </row>
    <row r="15" spans="1:1">
      <c r="A15" s="9" t="s">
        <v>2935</v>
      </c>
    </row>
    <row r="16" spans="1:1">
      <c r="A16" s="9" t="s">
        <v>2934</v>
      </c>
    </row>
    <row r="17" spans="1:1">
      <c r="A17" s="9" t="s">
        <v>2937</v>
      </c>
    </row>
    <row r="18" spans="1:1" s="9" customFormat="1">
      <c r="A18" s="9" t="s">
        <v>3627</v>
      </c>
    </row>
    <row r="19" spans="1:1" s="9" customFormat="1">
      <c r="A19" s="9" t="s">
        <v>3628</v>
      </c>
    </row>
    <row r="20" spans="1:1">
      <c r="A20" s="9" t="s">
        <v>2939</v>
      </c>
    </row>
    <row r="21" spans="1:1" s="9" customFormat="1">
      <c r="A21" s="9" t="s">
        <v>3626</v>
      </c>
    </row>
    <row r="22" spans="1:1">
      <c r="A22" s="9" t="s">
        <v>2932</v>
      </c>
    </row>
    <row r="23" spans="1:1">
      <c r="A23" s="9" t="s">
        <v>2938</v>
      </c>
    </row>
    <row r="24" spans="1:1">
      <c r="A24" s="9" t="s">
        <v>2941</v>
      </c>
    </row>
    <row r="25" spans="1:1" s="9" customFormat="1">
      <c r="A25" s="9" t="s">
        <v>3625</v>
      </c>
    </row>
    <row r="26" spans="1:1">
      <c r="A26" s="9" t="s">
        <v>2931</v>
      </c>
    </row>
    <row r="27" spans="1:1">
      <c r="A27" s="9" t="s">
        <v>2936</v>
      </c>
    </row>
    <row r="28" spans="1:1">
      <c r="A28" s="9" t="s">
        <v>2933</v>
      </c>
    </row>
    <row r="30" spans="1:1">
      <c r="A30" t="s">
        <v>3424</v>
      </c>
    </row>
    <row r="31" spans="1:1">
      <c r="A31" t="s">
        <v>3756</v>
      </c>
    </row>
    <row r="32" spans="1:1">
      <c r="A32" t="s">
        <v>3633</v>
      </c>
    </row>
    <row r="33" spans="1:1">
      <c r="A33" t="s">
        <v>3740</v>
      </c>
    </row>
    <row r="34" spans="1:1">
      <c r="A34" t="s">
        <v>3758</v>
      </c>
    </row>
    <row r="35" spans="1:1">
      <c r="A35" t="s">
        <v>3761</v>
      </c>
    </row>
    <row r="36" spans="1:1">
      <c r="A36" s="9" t="s">
        <v>3760</v>
      </c>
    </row>
  </sheetData>
  <hyperlinks>
    <hyperlink ref="A9" r:id="rId1" xr:uid="{51FEB26F-F065-44E1-AFDB-CD0F5C19F705}"/>
    <hyperlink ref="A11" r:id="rId2" xr:uid="{61756816-F4AE-4F2C-967F-A1AF1DAA70F3}"/>
    <hyperlink ref="A8" r:id="rId3" xr:uid="{26432DCE-4E67-4CA5-A358-6133EDDF1F1F}"/>
    <hyperlink ref="A10" r:id="rId4" xr:uid="{7856685B-5955-41E3-8AAC-6F975B615ED2}"/>
    <hyperlink ref="A12" r:id="rId5" xr:uid="{0B0E9C0A-2FAD-417C-8417-03D120B337D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E82DA-D87D-4F67-B120-531F313BCAF9}">
  <sheetPr>
    <tabColor rgb="FFFF0000"/>
  </sheetPr>
  <dimension ref="A1:F6"/>
  <sheetViews>
    <sheetView workbookViewId="0">
      <selection activeCell="F6" sqref="F6"/>
    </sheetView>
  </sheetViews>
  <sheetFormatPr defaultColWidth="8.796875" defaultRowHeight="15"/>
  <cols>
    <col min="1" max="1" width="19.3984375" style="9" customWidth="1"/>
    <col min="2" max="2" width="16.09765625" style="9" customWidth="1"/>
    <col min="3" max="3" width="17.09765625" style="9" customWidth="1"/>
    <col min="4" max="4" width="18" style="9" customWidth="1"/>
    <col min="5" max="5" width="16.8984375" style="9" customWidth="1"/>
    <col min="6" max="6" width="17.69921875" style="9" customWidth="1"/>
    <col min="7" max="16384" width="8.796875" style="9"/>
  </cols>
  <sheetData>
    <row r="1" spans="1:6">
      <c r="A1" s="9" t="s">
        <v>3209</v>
      </c>
    </row>
    <row r="2" spans="1:6" ht="15.75" thickBot="1"/>
    <row r="3" spans="1:6" ht="60">
      <c r="A3" s="95"/>
      <c r="B3" s="60" t="s">
        <v>3186</v>
      </c>
      <c r="C3" s="60" t="s">
        <v>3187</v>
      </c>
      <c r="D3" s="60" t="s">
        <v>3188</v>
      </c>
      <c r="E3" s="61" t="s">
        <v>3189</v>
      </c>
      <c r="F3" s="96" t="s">
        <v>2920</v>
      </c>
    </row>
    <row r="4" spans="1:6" ht="15.75" thickBot="1">
      <c r="A4" s="97" t="s">
        <v>2920</v>
      </c>
      <c r="B4" s="98">
        <v>1</v>
      </c>
      <c r="C4" s="99">
        <f>Summary!L3</f>
        <v>4088255758.2258506</v>
      </c>
      <c r="D4" s="99">
        <f>Summary!O3</f>
        <v>2040241758.2143409</v>
      </c>
      <c r="E4" s="99">
        <f>'CHIRP Payment Calc'!AO4</f>
        <v>378418399.99158454</v>
      </c>
      <c r="F4" s="100">
        <f>SUM(C4:E4)</f>
        <v>6506915916.431776</v>
      </c>
    </row>
    <row r="5" spans="1:6">
      <c r="A5" s="101" t="s">
        <v>3190</v>
      </c>
      <c r="B5" s="102">
        <f>1-B6</f>
        <v>0.60709999999999997</v>
      </c>
      <c r="C5" s="103">
        <f t="shared" ref="C5:E6" si="0">$B5*C$4</f>
        <v>2481980070.8189139</v>
      </c>
      <c r="D5" s="103">
        <f t="shared" si="0"/>
        <v>1238630771.4119263</v>
      </c>
      <c r="E5" s="103">
        <f t="shared" si="0"/>
        <v>229737810.63489097</v>
      </c>
      <c r="F5" s="104">
        <f>SUM(C5:E5)</f>
        <v>3950348652.8657312</v>
      </c>
    </row>
    <row r="6" spans="1:6" ht="15.75" thickBot="1">
      <c r="A6" s="105" t="s">
        <v>3191</v>
      </c>
      <c r="B6" s="106">
        <f>'CHIRP Payment Calc'!AQ3</f>
        <v>0.39290000000000003</v>
      </c>
      <c r="C6" s="58">
        <f t="shared" si="0"/>
        <v>1606275687.4069369</v>
      </c>
      <c r="D6" s="58">
        <f t="shared" si="0"/>
        <v>801610986.80241466</v>
      </c>
      <c r="E6" s="58">
        <f t="shared" si="0"/>
        <v>148680589.35669357</v>
      </c>
      <c r="F6" s="107">
        <f t="shared" ref="F6" si="1">SUM(C6:E6)</f>
        <v>2556567263.5660453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18A33-699F-4601-83DF-4D98681588EC}">
  <dimension ref="A1:M584"/>
  <sheetViews>
    <sheetView workbookViewId="0"/>
  </sheetViews>
  <sheetFormatPr defaultColWidth="8.796875" defaultRowHeight="15"/>
  <cols>
    <col min="1" max="1" width="11.59765625" style="9" customWidth="1"/>
    <col min="2" max="2" width="13.69921875" style="9" bestFit="1" customWidth="1"/>
    <col min="3" max="3" width="24.296875" style="9" bestFit="1" customWidth="1"/>
    <col min="4" max="4" width="10.69921875" style="9" bestFit="1" customWidth="1"/>
    <col min="5" max="5" width="10.69921875" style="14" customWidth="1"/>
    <col min="6" max="6" width="13" style="14" customWidth="1"/>
    <col min="7" max="7" width="10.69921875" style="9" customWidth="1"/>
    <col min="8" max="8" width="66.09765625" style="9" customWidth="1"/>
    <col min="9" max="9" width="10.69921875" style="9" bestFit="1" customWidth="1"/>
    <col min="10" max="10" width="11.59765625" style="9" bestFit="1" customWidth="1"/>
    <col min="11" max="11" width="13.5" style="9" bestFit="1" customWidth="1"/>
    <col min="12" max="13" width="13.5" style="9" customWidth="1"/>
    <col min="14" max="16384" width="8.796875" style="9"/>
  </cols>
  <sheetData>
    <row r="1" spans="1:13" ht="30">
      <c r="A1" s="16" t="s">
        <v>2875</v>
      </c>
      <c r="B1" s="1" t="s">
        <v>3</v>
      </c>
      <c r="C1" s="1" t="s">
        <v>2717</v>
      </c>
      <c r="D1" s="5" t="s">
        <v>1</v>
      </c>
      <c r="E1" s="12" t="s">
        <v>2195</v>
      </c>
      <c r="F1" s="12"/>
      <c r="G1" s="5" t="s">
        <v>0</v>
      </c>
      <c r="H1" s="1" t="s">
        <v>2716</v>
      </c>
      <c r="I1" s="13" t="s">
        <v>2918</v>
      </c>
      <c r="J1" s="13" t="s">
        <v>2919</v>
      </c>
      <c r="K1" s="13" t="s">
        <v>2920</v>
      </c>
      <c r="L1" s="17" t="s">
        <v>2921</v>
      </c>
      <c r="M1" s="17" t="s">
        <v>2922</v>
      </c>
    </row>
    <row r="2" spans="1:13">
      <c r="A2" s="9" t="s">
        <v>70</v>
      </c>
      <c r="B2" s="9" t="s">
        <v>487</v>
      </c>
      <c r="C2" s="9" t="s">
        <v>1644</v>
      </c>
      <c r="D2" s="4" t="s">
        <v>71</v>
      </c>
      <c r="E2" s="14" t="s">
        <v>71</v>
      </c>
      <c r="F2" s="14" t="s">
        <v>72</v>
      </c>
      <c r="G2" s="14" t="s">
        <v>70</v>
      </c>
      <c r="H2" s="9" t="s">
        <v>2712</v>
      </c>
      <c r="I2" s="3">
        <v>76988806.57060647</v>
      </c>
      <c r="J2" s="3">
        <v>241830.0694236063</v>
      </c>
      <c r="K2" s="3">
        <f>I2+J2</f>
        <v>77230636.640030071</v>
      </c>
      <c r="L2" s="3">
        <f>IFERROR(INDEX('CHIRP Payment Calc'!K:K,MATCH(A:A,'CHIRP Payment Calc'!A:A,0)),0)</f>
        <v>91830200.474462196</v>
      </c>
      <c r="M2" s="3">
        <f>K2-L2</f>
        <v>-14599563.834432125</v>
      </c>
    </row>
    <row r="3" spans="1:13">
      <c r="A3" s="9" t="s">
        <v>1340</v>
      </c>
      <c r="B3" s="9" t="s">
        <v>487</v>
      </c>
      <c r="C3" s="9" t="s">
        <v>2236</v>
      </c>
      <c r="D3" s="4" t="s">
        <v>1341</v>
      </c>
      <c r="E3" s="14" t="s">
        <v>1341</v>
      </c>
      <c r="F3" s="14" t="s">
        <v>1342</v>
      </c>
      <c r="G3" s="14" t="s">
        <v>1340</v>
      </c>
      <c r="H3" s="9" t="s">
        <v>2711</v>
      </c>
      <c r="I3" s="3">
        <v>3570795.3953771899</v>
      </c>
      <c r="J3" s="3">
        <v>0</v>
      </c>
      <c r="K3" s="3">
        <f t="shared" ref="K3:K7" si="0">I3+J3</f>
        <v>3570795.3953771899</v>
      </c>
      <c r="L3" s="3">
        <f>IFERROR(INDEX('CHIRP Payment Calc'!K:K,MATCH(A:A,'CHIRP Payment Calc'!A:A,0)),0)</f>
        <v>4230642.6175989183</v>
      </c>
      <c r="M3" s="3">
        <f t="shared" ref="M3:M7" si="1">K3-L3</f>
        <v>-659847.22222172841</v>
      </c>
    </row>
    <row r="4" spans="1:13">
      <c r="A4" s="9" t="s">
        <v>1307</v>
      </c>
      <c r="B4" s="9" t="s">
        <v>487</v>
      </c>
      <c r="C4" s="9" t="s">
        <v>2236</v>
      </c>
      <c r="D4" s="4" t="s">
        <v>1308</v>
      </c>
      <c r="E4" s="14" t="s">
        <v>1308</v>
      </c>
      <c r="F4" s="14" t="s">
        <v>1309</v>
      </c>
      <c r="G4" s="14" t="s">
        <v>1307</v>
      </c>
      <c r="H4" s="9" t="s">
        <v>2710</v>
      </c>
      <c r="I4" s="3">
        <v>3799315.0749900136</v>
      </c>
      <c r="J4" s="3">
        <v>0</v>
      </c>
      <c r="K4" s="3">
        <f t="shared" si="0"/>
        <v>3799315.0749900136</v>
      </c>
      <c r="L4" s="3">
        <f>IFERROR(INDEX('CHIRP Payment Calc'!K:K,MATCH(A:A,'CHIRP Payment Calc'!A:A,0)),0)</f>
        <v>5314285.9620712847</v>
      </c>
      <c r="M4" s="3">
        <f t="shared" si="1"/>
        <v>-1514970.887081271</v>
      </c>
    </row>
    <row r="5" spans="1:13">
      <c r="A5" s="9" t="s">
        <v>1280</v>
      </c>
      <c r="B5" s="9" t="s">
        <v>487</v>
      </c>
      <c r="C5" s="9" t="s">
        <v>1558</v>
      </c>
      <c r="D5" s="4" t="s">
        <v>1281</v>
      </c>
      <c r="E5" s="14" t="s">
        <v>1281</v>
      </c>
      <c r="F5" s="14" t="s">
        <v>1282</v>
      </c>
      <c r="G5" s="14" t="s">
        <v>1280</v>
      </c>
      <c r="H5" s="9" t="s">
        <v>2709</v>
      </c>
      <c r="I5" s="3">
        <v>3117894.8719757926</v>
      </c>
      <c r="J5" s="3">
        <v>1179917.5109527586</v>
      </c>
      <c r="K5" s="3">
        <f t="shared" si="0"/>
        <v>4297812.3829285512</v>
      </c>
      <c r="L5" s="3">
        <f>IFERROR(INDEX('CHIRP Payment Calc'!K:K,MATCH(A:A,'CHIRP Payment Calc'!A:A,0)),0)</f>
        <v>5908070.0724583436</v>
      </c>
      <c r="M5" s="3">
        <f t="shared" si="1"/>
        <v>-1610257.6895297924</v>
      </c>
    </row>
    <row r="6" spans="1:13">
      <c r="A6" s="9" t="s">
        <v>868</v>
      </c>
      <c r="B6" s="9" t="s">
        <v>487</v>
      </c>
      <c r="C6" s="9" t="s">
        <v>222</v>
      </c>
      <c r="D6" s="4" t="s">
        <v>869</v>
      </c>
      <c r="E6" s="14" t="s">
        <v>869</v>
      </c>
      <c r="F6" s="14" t="s">
        <v>870</v>
      </c>
      <c r="G6" s="14" t="s">
        <v>868</v>
      </c>
      <c r="H6" s="9" t="s">
        <v>1847</v>
      </c>
      <c r="I6" s="3">
        <v>65850493.863207608</v>
      </c>
      <c r="J6" s="3">
        <v>28679381.649513371</v>
      </c>
      <c r="K6" s="3">
        <f t="shared" si="0"/>
        <v>94529875.512720972</v>
      </c>
      <c r="L6" s="3">
        <f>IFERROR(INDEX('CHIRP Payment Calc'!K:K,MATCH(A:A,'CHIRP Payment Calc'!A:A,0)),0)</f>
        <v>132471643.07420155</v>
      </c>
      <c r="M6" s="3">
        <f t="shared" si="1"/>
        <v>-37941767.561480582</v>
      </c>
    </row>
    <row r="7" spans="1:13">
      <c r="A7" s="9" t="s">
        <v>61</v>
      </c>
      <c r="B7" s="9" t="s">
        <v>487</v>
      </c>
      <c r="C7" s="9" t="s">
        <v>222</v>
      </c>
      <c r="D7" s="4" t="s">
        <v>62</v>
      </c>
      <c r="E7" s="14" t="s">
        <v>62</v>
      </c>
      <c r="F7" s="14" t="s">
        <v>63</v>
      </c>
      <c r="G7" s="14" t="s">
        <v>61</v>
      </c>
      <c r="H7" s="9" t="s">
        <v>2708</v>
      </c>
      <c r="I7" s="3">
        <v>6504082.1393506192</v>
      </c>
      <c r="J7" s="3">
        <v>5384755.01952135</v>
      </c>
      <c r="K7" s="3">
        <f t="shared" si="0"/>
        <v>11888837.158871969</v>
      </c>
      <c r="L7" s="3">
        <f>IFERROR(INDEX('CHIRP Payment Calc'!K:K,MATCH(A:A,'CHIRP Payment Calc'!A:A,0)),0)</f>
        <v>0</v>
      </c>
      <c r="M7" s="3">
        <f t="shared" si="1"/>
        <v>11888837.158871969</v>
      </c>
    </row>
    <row r="8" spans="1:13">
      <c r="A8" s="9" t="s">
        <v>1539</v>
      </c>
      <c r="B8" s="15" t="s">
        <v>1553</v>
      </c>
      <c r="C8" s="15" t="s">
        <v>222</v>
      </c>
      <c r="D8" s="4" t="s">
        <v>1540</v>
      </c>
      <c r="E8" s="14" t="e">
        <v>#N/A</v>
      </c>
      <c r="F8" s="14" t="e">
        <v>#N/A</v>
      </c>
      <c r="G8" s="14" t="e">
        <v>#N/A</v>
      </c>
      <c r="H8" s="9" t="s">
        <v>2314</v>
      </c>
      <c r="I8" s="3">
        <v>31543.601284080698</v>
      </c>
      <c r="J8" s="3">
        <v>194925.57687495981</v>
      </c>
      <c r="K8" s="3">
        <f t="shared" ref="K8:K71" si="2">I8+J8</f>
        <v>226469.17815904052</v>
      </c>
      <c r="L8" s="3">
        <f>IFERROR(INDEX('CHIRP Payment Calc'!K:K,MATCH(A:A,'CHIRP Payment Calc'!A:A,0)),0)</f>
        <v>1240330.57586877</v>
      </c>
      <c r="M8" s="3">
        <f t="shared" ref="M8:M71" si="3">K8-L8</f>
        <v>-1013861.3977097295</v>
      </c>
    </row>
    <row r="9" spans="1:13">
      <c r="A9" s="9" t="s">
        <v>2803</v>
      </c>
      <c r="B9" s="9" t="s">
        <v>487</v>
      </c>
      <c r="C9" s="9" t="s">
        <v>222</v>
      </c>
      <c r="D9" s="4" t="s">
        <v>2707</v>
      </c>
      <c r="E9" s="14" t="s">
        <v>2707</v>
      </c>
      <c r="F9" s="14" t="e">
        <v>#N/A</v>
      </c>
      <c r="G9" s="14" t="s">
        <v>2706</v>
      </c>
      <c r="H9" s="9" t="s">
        <v>2705</v>
      </c>
      <c r="I9" s="3">
        <v>0</v>
      </c>
      <c r="J9" s="3">
        <v>0</v>
      </c>
      <c r="K9" s="3">
        <f t="shared" si="2"/>
        <v>0</v>
      </c>
      <c r="L9" s="3">
        <f>IFERROR(INDEX('CHIRP Payment Calc'!K:K,MATCH(A:A,'CHIRP Payment Calc'!A:A,0)),0)</f>
        <v>0</v>
      </c>
      <c r="M9" s="3">
        <f t="shared" si="3"/>
        <v>0</v>
      </c>
    </row>
    <row r="10" spans="1:13">
      <c r="A10" s="9" t="s">
        <v>304</v>
      </c>
      <c r="B10" s="9" t="s">
        <v>487</v>
      </c>
      <c r="C10" s="9" t="s">
        <v>222</v>
      </c>
      <c r="D10" s="4" t="s">
        <v>305</v>
      </c>
      <c r="E10" s="14" t="s">
        <v>305</v>
      </c>
      <c r="F10" s="14" t="s">
        <v>306</v>
      </c>
      <c r="G10" s="14" t="s">
        <v>304</v>
      </c>
      <c r="H10" s="9" t="s">
        <v>2704</v>
      </c>
      <c r="I10" s="3">
        <v>2326.0203921260095</v>
      </c>
      <c r="J10" s="3">
        <v>0</v>
      </c>
      <c r="K10" s="3">
        <f t="shared" si="2"/>
        <v>2326.0203921260095</v>
      </c>
      <c r="L10" s="3">
        <f>IFERROR(INDEX('CHIRP Payment Calc'!K:K,MATCH(A:A,'CHIRP Payment Calc'!A:A,0)),0)</f>
        <v>0</v>
      </c>
      <c r="M10" s="3">
        <f t="shared" si="3"/>
        <v>2326.0203921260095</v>
      </c>
    </row>
    <row r="11" spans="1:13">
      <c r="A11" s="9" t="s">
        <v>326</v>
      </c>
      <c r="B11" s="9" t="s">
        <v>487</v>
      </c>
      <c r="C11" s="9" t="s">
        <v>222</v>
      </c>
      <c r="D11" s="4" t="s">
        <v>327</v>
      </c>
      <c r="E11" s="14" t="s">
        <v>327</v>
      </c>
      <c r="F11" s="14" t="s">
        <v>328</v>
      </c>
      <c r="G11" s="14" t="s">
        <v>326</v>
      </c>
      <c r="H11" s="9" t="s">
        <v>328</v>
      </c>
      <c r="I11" s="3">
        <v>479447.33461093827</v>
      </c>
      <c r="J11" s="3">
        <v>1214584.5285059423</v>
      </c>
      <c r="K11" s="3">
        <f t="shared" si="2"/>
        <v>1694031.8631168806</v>
      </c>
      <c r="L11" s="3">
        <f>IFERROR(INDEX('CHIRP Payment Calc'!K:K,MATCH(A:A,'CHIRP Payment Calc'!A:A,0)),0)</f>
        <v>0</v>
      </c>
      <c r="M11" s="3">
        <f t="shared" si="3"/>
        <v>1694031.8631168806</v>
      </c>
    </row>
    <row r="12" spans="1:13">
      <c r="A12" s="9" t="s">
        <v>362</v>
      </c>
      <c r="B12" s="9" t="s">
        <v>487</v>
      </c>
      <c r="C12" s="9" t="s">
        <v>222</v>
      </c>
      <c r="D12" s="4" t="s">
        <v>363</v>
      </c>
      <c r="E12" s="14" t="s">
        <v>363</v>
      </c>
      <c r="F12" s="14" t="s">
        <v>364</v>
      </c>
      <c r="G12" s="14" t="s">
        <v>362</v>
      </c>
      <c r="H12" s="9" t="s">
        <v>2703</v>
      </c>
      <c r="I12" s="3">
        <v>1152812.8071832631</v>
      </c>
      <c r="J12" s="3">
        <v>678920.45602063346</v>
      </c>
      <c r="K12" s="3">
        <f t="shared" si="2"/>
        <v>1831733.2632038966</v>
      </c>
      <c r="L12" s="3">
        <f>IFERROR(INDEX('CHIRP Payment Calc'!K:K,MATCH(A:A,'CHIRP Payment Calc'!A:A,0)),0)</f>
        <v>2736389.5373309413</v>
      </c>
      <c r="M12" s="3">
        <f t="shared" si="3"/>
        <v>-904656.27412704471</v>
      </c>
    </row>
    <row r="13" spans="1:13">
      <c r="A13" s="9" t="s">
        <v>1464</v>
      </c>
      <c r="B13" s="9" t="s">
        <v>487</v>
      </c>
      <c r="C13" s="9" t="s">
        <v>222</v>
      </c>
      <c r="D13" s="4" t="s">
        <v>1465</v>
      </c>
      <c r="E13" s="14" t="s">
        <v>1465</v>
      </c>
      <c r="F13" s="14" t="s">
        <v>1466</v>
      </c>
      <c r="G13" s="14" t="s">
        <v>1464</v>
      </c>
      <c r="H13" s="9" t="s">
        <v>1466</v>
      </c>
      <c r="I13" s="3">
        <v>100880.47186663476</v>
      </c>
      <c r="J13" s="3">
        <v>394549.09258889226</v>
      </c>
      <c r="K13" s="3">
        <f t="shared" si="2"/>
        <v>495429.564455527</v>
      </c>
      <c r="L13" s="3">
        <f>IFERROR(INDEX('CHIRP Payment Calc'!K:K,MATCH(A:A,'CHIRP Payment Calc'!A:A,0)),0)</f>
        <v>872734.42010858806</v>
      </c>
      <c r="M13" s="3">
        <f t="shared" si="3"/>
        <v>-377304.85565306107</v>
      </c>
    </row>
    <row r="14" spans="1:13">
      <c r="A14" s="9" t="s">
        <v>210</v>
      </c>
      <c r="B14" s="9" t="s">
        <v>487</v>
      </c>
      <c r="C14" s="9" t="s">
        <v>222</v>
      </c>
      <c r="D14" s="4" t="s">
        <v>211</v>
      </c>
      <c r="E14" s="14" t="s">
        <v>211</v>
      </c>
      <c r="F14" s="14" t="s">
        <v>212</v>
      </c>
      <c r="G14" s="14" t="s">
        <v>210</v>
      </c>
      <c r="H14" s="9" t="s">
        <v>2702</v>
      </c>
      <c r="I14" s="3">
        <v>99440.615370456726</v>
      </c>
      <c r="J14" s="3">
        <v>0</v>
      </c>
      <c r="K14" s="3">
        <f t="shared" si="2"/>
        <v>99440.615370456726</v>
      </c>
      <c r="L14" s="3">
        <f>IFERROR(INDEX('CHIRP Payment Calc'!K:K,MATCH(A:A,'CHIRP Payment Calc'!A:A,0)),0)</f>
        <v>0</v>
      </c>
      <c r="M14" s="3">
        <f t="shared" si="3"/>
        <v>99440.615370456726</v>
      </c>
    </row>
    <row r="15" spans="1:13">
      <c r="A15" s="9" t="s">
        <v>777</v>
      </c>
      <c r="B15" s="9" t="s">
        <v>487</v>
      </c>
      <c r="C15" s="9" t="s">
        <v>222</v>
      </c>
      <c r="D15" s="4" t="s">
        <v>778</v>
      </c>
      <c r="E15" s="14" t="s">
        <v>778</v>
      </c>
      <c r="F15" s="14" t="s">
        <v>779</v>
      </c>
      <c r="G15" s="14" t="s">
        <v>777</v>
      </c>
      <c r="H15" s="9" t="s">
        <v>2701</v>
      </c>
      <c r="I15" s="3">
        <v>131713.12770317591</v>
      </c>
      <c r="J15" s="3">
        <v>0</v>
      </c>
      <c r="K15" s="3">
        <f t="shared" si="2"/>
        <v>131713.12770317591</v>
      </c>
      <c r="L15" s="3">
        <f>IFERROR(INDEX('CHIRP Payment Calc'!K:K,MATCH(A:A,'CHIRP Payment Calc'!A:A,0)),0)</f>
        <v>0</v>
      </c>
      <c r="M15" s="3">
        <f t="shared" si="3"/>
        <v>131713.12770317591</v>
      </c>
    </row>
    <row r="16" spans="1:13">
      <c r="A16" s="9" t="s">
        <v>1408</v>
      </c>
      <c r="B16" s="9" t="s">
        <v>487</v>
      </c>
      <c r="C16" s="9" t="s">
        <v>222</v>
      </c>
      <c r="D16" s="4" t="s">
        <v>1409</v>
      </c>
      <c r="E16" s="14" t="s">
        <v>1409</v>
      </c>
      <c r="F16" s="14" t="s">
        <v>1410</v>
      </c>
      <c r="G16" s="14" t="s">
        <v>1408</v>
      </c>
      <c r="H16" s="9" t="s">
        <v>2700</v>
      </c>
      <c r="I16" s="3">
        <v>0</v>
      </c>
      <c r="J16" s="3">
        <v>0</v>
      </c>
      <c r="K16" s="3">
        <f t="shared" si="2"/>
        <v>0</v>
      </c>
      <c r="L16" s="3">
        <f>IFERROR(INDEX('CHIRP Payment Calc'!K:K,MATCH(A:A,'CHIRP Payment Calc'!A:A,0)),0)</f>
        <v>0</v>
      </c>
      <c r="M16" s="3">
        <f t="shared" si="3"/>
        <v>0</v>
      </c>
    </row>
    <row r="17" spans="1:13">
      <c r="A17" s="9" t="s">
        <v>100</v>
      </c>
      <c r="B17" s="9" t="s">
        <v>487</v>
      </c>
      <c r="C17" s="9" t="s">
        <v>222</v>
      </c>
      <c r="D17" s="4" t="s">
        <v>101</v>
      </c>
      <c r="E17" s="14" t="s">
        <v>101</v>
      </c>
      <c r="F17" s="14" t="s">
        <v>102</v>
      </c>
      <c r="G17" s="14" t="s">
        <v>100</v>
      </c>
      <c r="H17" s="9" t="s">
        <v>2699</v>
      </c>
      <c r="I17" s="3">
        <v>0</v>
      </c>
      <c r="J17" s="3">
        <v>0</v>
      </c>
      <c r="K17" s="3">
        <f t="shared" si="2"/>
        <v>0</v>
      </c>
      <c r="L17" s="3">
        <f>IFERROR(INDEX('CHIRP Payment Calc'!K:K,MATCH(A:A,'CHIRP Payment Calc'!A:A,0)),0)</f>
        <v>0</v>
      </c>
      <c r="M17" s="3">
        <f t="shared" si="3"/>
        <v>0</v>
      </c>
    </row>
    <row r="18" spans="1:13">
      <c r="A18" s="9" t="s">
        <v>1295</v>
      </c>
      <c r="B18" s="9" t="s">
        <v>487</v>
      </c>
      <c r="C18" s="9" t="s">
        <v>222</v>
      </c>
      <c r="D18" s="4" t="s">
        <v>1296</v>
      </c>
      <c r="E18" s="14" t="s">
        <v>1296</v>
      </c>
      <c r="F18" s="14" t="s">
        <v>1297</v>
      </c>
      <c r="G18" s="14" t="s">
        <v>1295</v>
      </c>
      <c r="H18" s="9" t="s">
        <v>2698</v>
      </c>
      <c r="I18" s="3">
        <v>42152096.693772629</v>
      </c>
      <c r="J18" s="3">
        <v>18928006.269814182</v>
      </c>
      <c r="K18" s="3">
        <f t="shared" si="2"/>
        <v>61080102.963586807</v>
      </c>
      <c r="L18" s="3">
        <f>IFERROR(INDEX('CHIRP Payment Calc'!K:K,MATCH(A:A,'CHIRP Payment Calc'!A:A,0)),0)</f>
        <v>75246357.639267236</v>
      </c>
      <c r="M18" s="3">
        <f t="shared" si="3"/>
        <v>-14166254.675680429</v>
      </c>
    </row>
    <row r="19" spans="1:13">
      <c r="A19" s="9" t="s">
        <v>1193</v>
      </c>
      <c r="B19" s="9" t="s">
        <v>487</v>
      </c>
      <c r="C19" s="9" t="s">
        <v>222</v>
      </c>
      <c r="D19" s="4" t="s">
        <v>1194</v>
      </c>
      <c r="E19" s="14" t="s">
        <v>1194</v>
      </c>
      <c r="F19" s="14" t="s">
        <v>1195</v>
      </c>
      <c r="G19" s="14" t="s">
        <v>1193</v>
      </c>
      <c r="H19" s="9" t="s">
        <v>2697</v>
      </c>
      <c r="I19" s="3">
        <v>0</v>
      </c>
      <c r="J19" s="3">
        <v>0</v>
      </c>
      <c r="K19" s="3">
        <f t="shared" si="2"/>
        <v>0</v>
      </c>
      <c r="L19" s="3">
        <f>IFERROR(INDEX('CHIRP Payment Calc'!K:K,MATCH(A:A,'CHIRP Payment Calc'!A:A,0)),0)</f>
        <v>0</v>
      </c>
      <c r="M19" s="3">
        <f t="shared" si="3"/>
        <v>0</v>
      </c>
    </row>
    <row r="20" spans="1:13">
      <c r="A20" s="9" t="s">
        <v>484</v>
      </c>
      <c r="B20" s="9" t="s">
        <v>487</v>
      </c>
      <c r="C20" s="9" t="s">
        <v>222</v>
      </c>
      <c r="D20" s="4" t="s">
        <v>485</v>
      </c>
      <c r="E20" s="14" t="s">
        <v>485</v>
      </c>
      <c r="F20" s="14" t="s">
        <v>486</v>
      </c>
      <c r="G20" s="14" t="s">
        <v>484</v>
      </c>
      <c r="H20" s="9" t="s">
        <v>2696</v>
      </c>
      <c r="I20" s="3">
        <v>0</v>
      </c>
      <c r="J20" s="3">
        <v>0</v>
      </c>
      <c r="K20" s="3">
        <f t="shared" si="2"/>
        <v>0</v>
      </c>
      <c r="L20" s="3">
        <f>IFERROR(INDEX('CHIRP Payment Calc'!K:K,MATCH(A:A,'CHIRP Payment Calc'!A:A,0)),0)</f>
        <v>0</v>
      </c>
      <c r="M20" s="3">
        <f t="shared" si="3"/>
        <v>0</v>
      </c>
    </row>
    <row r="21" spans="1:13">
      <c r="A21" s="9" t="s">
        <v>865</v>
      </c>
      <c r="B21" s="9" t="s">
        <v>487</v>
      </c>
      <c r="C21" s="9" t="s">
        <v>222</v>
      </c>
      <c r="D21" s="4" t="s">
        <v>866</v>
      </c>
      <c r="E21" s="14" t="s">
        <v>866</v>
      </c>
      <c r="F21" s="14" t="s">
        <v>867</v>
      </c>
      <c r="G21" s="14" t="s">
        <v>865</v>
      </c>
      <c r="H21" s="9" t="s">
        <v>2695</v>
      </c>
      <c r="I21" s="3">
        <v>4547985.4125968656</v>
      </c>
      <c r="J21" s="3">
        <v>2244203.853237119</v>
      </c>
      <c r="K21" s="3">
        <f t="shared" si="2"/>
        <v>6792189.2658339851</v>
      </c>
      <c r="L21" s="3">
        <f>IFERROR(INDEX('CHIRP Payment Calc'!K:K,MATCH(A:A,'CHIRP Payment Calc'!A:A,0)),0)</f>
        <v>12741585.454320241</v>
      </c>
      <c r="M21" s="3">
        <f t="shared" si="3"/>
        <v>-5949396.1884862557</v>
      </c>
    </row>
    <row r="22" spans="1:13">
      <c r="A22" s="9" t="s">
        <v>132</v>
      </c>
      <c r="B22" s="9" t="s">
        <v>487</v>
      </c>
      <c r="C22" s="9" t="s">
        <v>222</v>
      </c>
      <c r="D22" s="4" t="s">
        <v>133</v>
      </c>
      <c r="E22" s="14" t="s">
        <v>133</v>
      </c>
      <c r="F22" s="14" t="s">
        <v>134</v>
      </c>
      <c r="G22" s="14" t="s">
        <v>132</v>
      </c>
      <c r="H22" s="9" t="s">
        <v>2694</v>
      </c>
      <c r="I22" s="3">
        <v>2546031.4677360537</v>
      </c>
      <c r="J22" s="3">
        <v>952260.69876638439</v>
      </c>
      <c r="K22" s="3">
        <f t="shared" si="2"/>
        <v>3498292.166502438</v>
      </c>
      <c r="L22" s="3">
        <f>IFERROR(INDEX('CHIRP Payment Calc'!K:K,MATCH(A:A,'CHIRP Payment Calc'!A:A,0)),0)</f>
        <v>8391402.9894991945</v>
      </c>
      <c r="M22" s="3">
        <f t="shared" si="3"/>
        <v>-4893110.8229967561</v>
      </c>
    </row>
    <row r="23" spans="1:13">
      <c r="A23" s="9" t="s">
        <v>332</v>
      </c>
      <c r="B23" s="9" t="s">
        <v>487</v>
      </c>
      <c r="C23" s="9" t="s">
        <v>222</v>
      </c>
      <c r="D23" s="4" t="s">
        <v>333</v>
      </c>
      <c r="E23" s="14" t="s">
        <v>333</v>
      </c>
      <c r="F23" s="14" t="s">
        <v>334</v>
      </c>
      <c r="G23" s="14" t="s">
        <v>332</v>
      </c>
      <c r="H23" s="9" t="s">
        <v>2693</v>
      </c>
      <c r="I23" s="3">
        <v>0</v>
      </c>
      <c r="J23" s="3">
        <v>0</v>
      </c>
      <c r="K23" s="3">
        <f t="shared" si="2"/>
        <v>0</v>
      </c>
      <c r="L23" s="3">
        <f>IFERROR(INDEX('CHIRP Payment Calc'!K:K,MATCH(A:A,'CHIRP Payment Calc'!A:A,0)),0)</f>
        <v>0</v>
      </c>
      <c r="M23" s="3">
        <f t="shared" si="3"/>
        <v>0</v>
      </c>
    </row>
    <row r="24" spans="1:13">
      <c r="A24" s="9" t="s">
        <v>1493</v>
      </c>
      <c r="B24" s="15" t="s">
        <v>1489</v>
      </c>
      <c r="C24" s="15" t="s">
        <v>222</v>
      </c>
      <c r="D24" s="4" t="s">
        <v>1494</v>
      </c>
      <c r="E24" s="14" t="e">
        <v>#N/A</v>
      </c>
      <c r="F24" s="14" t="e">
        <v>#N/A</v>
      </c>
      <c r="G24" s="14" t="e">
        <v>#N/A</v>
      </c>
      <c r="H24" s="9" t="s">
        <v>2440</v>
      </c>
      <c r="I24" s="3">
        <v>0</v>
      </c>
      <c r="J24" s="3">
        <v>989.89283074172374</v>
      </c>
      <c r="K24" s="3">
        <f t="shared" si="2"/>
        <v>989.89283074172374</v>
      </c>
      <c r="L24" s="3">
        <f>IFERROR(INDEX('CHIRP Payment Calc'!K:K,MATCH(A:A,'CHIRP Payment Calc'!A:A,0)),0)</f>
        <v>123.21149712126591</v>
      </c>
      <c r="M24" s="3">
        <f t="shared" si="3"/>
        <v>866.68133362045785</v>
      </c>
    </row>
    <row r="25" spans="1:13">
      <c r="A25" s="9" t="s">
        <v>1484</v>
      </c>
      <c r="B25" s="9" t="s">
        <v>487</v>
      </c>
      <c r="C25" s="9" t="s">
        <v>222</v>
      </c>
      <c r="D25" s="4" t="s">
        <v>1485</v>
      </c>
      <c r="E25" s="14" t="s">
        <v>1485</v>
      </c>
      <c r="F25" s="14" t="s">
        <v>1486</v>
      </c>
      <c r="G25" s="14" t="s">
        <v>1484</v>
      </c>
      <c r="H25" s="9" t="s">
        <v>2692</v>
      </c>
      <c r="I25" s="3">
        <v>0</v>
      </c>
      <c r="J25" s="3">
        <v>0</v>
      </c>
      <c r="K25" s="3">
        <f t="shared" si="2"/>
        <v>0</v>
      </c>
      <c r="L25" s="3">
        <f>IFERROR(INDEX('CHIRP Payment Calc'!K:K,MATCH(A:A,'CHIRP Payment Calc'!A:A,0)),0)</f>
        <v>0</v>
      </c>
      <c r="M25" s="3">
        <f t="shared" si="3"/>
        <v>0</v>
      </c>
    </row>
    <row r="26" spans="1:13">
      <c r="A26" s="9" t="s">
        <v>859</v>
      </c>
      <c r="B26" s="9" t="s">
        <v>487</v>
      </c>
      <c r="C26" s="9" t="s">
        <v>222</v>
      </c>
      <c r="D26" s="4" t="s">
        <v>860</v>
      </c>
      <c r="E26" s="14" t="s">
        <v>860</v>
      </c>
      <c r="F26" s="14" t="s">
        <v>861</v>
      </c>
      <c r="G26" s="14" t="s">
        <v>859</v>
      </c>
      <c r="H26" s="9" t="s">
        <v>2691</v>
      </c>
      <c r="I26" s="3">
        <v>854281.83489774703</v>
      </c>
      <c r="J26" s="3">
        <v>598916.23245487595</v>
      </c>
      <c r="K26" s="3">
        <f t="shared" si="2"/>
        <v>1453198.067352623</v>
      </c>
      <c r="L26" s="3">
        <f>IFERROR(INDEX('CHIRP Payment Calc'!K:K,MATCH(A:A,'CHIRP Payment Calc'!A:A,0)),0)</f>
        <v>0</v>
      </c>
      <c r="M26" s="3">
        <f t="shared" si="3"/>
        <v>1453198.067352623</v>
      </c>
    </row>
    <row r="27" spans="1:13">
      <c r="A27" s="9" t="s">
        <v>1225</v>
      </c>
      <c r="B27" s="9" t="s">
        <v>487</v>
      </c>
      <c r="C27" s="9" t="s">
        <v>222</v>
      </c>
      <c r="D27" s="4" t="s">
        <v>1226</v>
      </c>
      <c r="E27" s="14" t="s">
        <v>1226</v>
      </c>
      <c r="F27" s="14" t="s">
        <v>1227</v>
      </c>
      <c r="G27" s="14" t="s">
        <v>1225</v>
      </c>
      <c r="H27" s="9" t="s">
        <v>2690</v>
      </c>
      <c r="I27" s="3">
        <v>6033947.2766931364</v>
      </c>
      <c r="J27" s="3">
        <v>4910775.9967919663</v>
      </c>
      <c r="K27" s="3">
        <f t="shared" si="2"/>
        <v>10944723.273485102</v>
      </c>
      <c r="L27" s="3">
        <f>IFERROR(INDEX('CHIRP Payment Calc'!K:K,MATCH(A:A,'CHIRP Payment Calc'!A:A,0)),0)</f>
        <v>14645964.937008988</v>
      </c>
      <c r="M27" s="3">
        <f t="shared" si="3"/>
        <v>-3701241.6635238864</v>
      </c>
    </row>
    <row r="28" spans="1:13">
      <c r="A28" s="9" t="s">
        <v>2688</v>
      </c>
      <c r="B28" s="9" t="s">
        <v>487</v>
      </c>
      <c r="C28" s="9" t="s">
        <v>222</v>
      </c>
      <c r="D28" s="4" t="s">
        <v>2689</v>
      </c>
      <c r="E28" s="14" t="s">
        <v>2689</v>
      </c>
      <c r="F28" s="14" t="e">
        <v>#N/A</v>
      </c>
      <c r="G28" s="14" t="s">
        <v>2688</v>
      </c>
      <c r="H28" s="9" t="s">
        <v>2687</v>
      </c>
      <c r="I28" s="3">
        <v>0</v>
      </c>
      <c r="J28" s="3">
        <v>0</v>
      </c>
      <c r="K28" s="3">
        <f t="shared" si="2"/>
        <v>0</v>
      </c>
      <c r="L28" s="3">
        <f>IFERROR(INDEX('CHIRP Payment Calc'!K:K,MATCH(A:A,'CHIRP Payment Calc'!A:A,0)),0)</f>
        <v>0</v>
      </c>
      <c r="M28" s="3">
        <f t="shared" si="3"/>
        <v>0</v>
      </c>
    </row>
    <row r="29" spans="1:13">
      <c r="A29" s="9" t="s">
        <v>862</v>
      </c>
      <c r="B29" s="9" t="s">
        <v>487</v>
      </c>
      <c r="C29" s="9" t="s">
        <v>1481</v>
      </c>
      <c r="D29" s="4" t="s">
        <v>863</v>
      </c>
      <c r="E29" s="14" t="s">
        <v>863</v>
      </c>
      <c r="F29" s="14" t="s">
        <v>864</v>
      </c>
      <c r="G29" s="14" t="s">
        <v>862</v>
      </c>
      <c r="H29" s="9" t="s">
        <v>2686</v>
      </c>
      <c r="I29" s="3">
        <v>2306879.3072324959</v>
      </c>
      <c r="J29" s="3">
        <v>954560.98196195881</v>
      </c>
      <c r="K29" s="3">
        <f t="shared" si="2"/>
        <v>3261440.2891944544</v>
      </c>
      <c r="L29" s="3">
        <f>IFERROR(INDEX('CHIRP Payment Calc'!K:K,MATCH(A:A,'CHIRP Payment Calc'!A:A,0)),0)</f>
        <v>3095371.1040810794</v>
      </c>
      <c r="M29" s="3">
        <f t="shared" si="3"/>
        <v>166069.18511337508</v>
      </c>
    </row>
    <row r="30" spans="1:13">
      <c r="A30" s="9" t="s">
        <v>831</v>
      </c>
      <c r="B30" s="9" t="s">
        <v>487</v>
      </c>
      <c r="C30" s="9" t="s">
        <v>1550</v>
      </c>
      <c r="D30" s="4" t="s">
        <v>832</v>
      </c>
      <c r="E30" s="14" t="s">
        <v>832</v>
      </c>
      <c r="F30" s="14" t="s">
        <v>833</v>
      </c>
      <c r="G30" s="14" t="s">
        <v>831</v>
      </c>
      <c r="H30" s="9" t="s">
        <v>833</v>
      </c>
      <c r="I30" s="3">
        <v>1329498.6641652437</v>
      </c>
      <c r="J30" s="3">
        <v>202644.29553635675</v>
      </c>
      <c r="K30" s="3">
        <f t="shared" si="2"/>
        <v>1532142.9597016005</v>
      </c>
      <c r="L30" s="3">
        <f>IFERROR(INDEX('CHIRP Payment Calc'!K:K,MATCH(A:A,'CHIRP Payment Calc'!A:A,0)),0)</f>
        <v>2755776.3145404169</v>
      </c>
      <c r="M30" s="3">
        <f t="shared" si="3"/>
        <v>-1223633.3548388164</v>
      </c>
    </row>
    <row r="31" spans="1:13">
      <c r="A31" s="9" t="s">
        <v>1171</v>
      </c>
      <c r="B31" s="9" t="s">
        <v>487</v>
      </c>
      <c r="C31" s="9" t="s">
        <v>1550</v>
      </c>
      <c r="D31" s="4" t="s">
        <v>1172</v>
      </c>
      <c r="E31" s="14" t="s">
        <v>1172</v>
      </c>
      <c r="F31" s="14" t="s">
        <v>1173</v>
      </c>
      <c r="G31" s="14" t="s">
        <v>1171</v>
      </c>
      <c r="H31" s="9" t="s">
        <v>2685</v>
      </c>
      <c r="I31" s="3">
        <v>992540.27055843908</v>
      </c>
      <c r="J31" s="3">
        <v>344943.89632638881</v>
      </c>
      <c r="K31" s="3">
        <f t="shared" si="2"/>
        <v>1337484.1668848279</v>
      </c>
      <c r="L31" s="3">
        <f>IFERROR(INDEX('CHIRP Payment Calc'!K:K,MATCH(A:A,'CHIRP Payment Calc'!A:A,0)),0)</f>
        <v>1499614.9378769812</v>
      </c>
      <c r="M31" s="3">
        <f t="shared" si="3"/>
        <v>-162130.77099215332</v>
      </c>
    </row>
    <row r="32" spans="1:13">
      <c r="A32" s="9" t="s">
        <v>1203</v>
      </c>
      <c r="B32" s="9" t="s">
        <v>487</v>
      </c>
      <c r="C32" s="9" t="s">
        <v>1559</v>
      </c>
      <c r="D32" s="4" t="s">
        <v>1204</v>
      </c>
      <c r="E32" s="14" t="s">
        <v>1204</v>
      </c>
      <c r="F32" s="14" t="s">
        <v>1205</v>
      </c>
      <c r="G32" s="14" t="s">
        <v>1203</v>
      </c>
      <c r="H32" s="9" t="s">
        <v>2684</v>
      </c>
      <c r="I32" s="3">
        <v>49180115.665194914</v>
      </c>
      <c r="J32" s="3">
        <v>27646465.737676527</v>
      </c>
      <c r="K32" s="3">
        <f t="shared" si="2"/>
        <v>76826581.402871445</v>
      </c>
      <c r="L32" s="3">
        <f>IFERROR(INDEX('CHIRP Payment Calc'!K:K,MATCH(A:A,'CHIRP Payment Calc'!A:A,0)),0)</f>
        <v>128214890.78222004</v>
      </c>
      <c r="M32" s="3">
        <f t="shared" si="3"/>
        <v>-51388309.379348591</v>
      </c>
    </row>
    <row r="33" spans="1:13">
      <c r="A33" s="9" t="s">
        <v>55</v>
      </c>
      <c r="B33" s="9" t="s">
        <v>223</v>
      </c>
      <c r="C33" s="9" t="s">
        <v>1644</v>
      </c>
      <c r="D33" s="4" t="s">
        <v>56</v>
      </c>
      <c r="E33" s="14" t="s">
        <v>56</v>
      </c>
      <c r="F33" s="14" t="s">
        <v>57</v>
      </c>
      <c r="G33" s="14" t="s">
        <v>55</v>
      </c>
      <c r="H33" s="9" t="s">
        <v>2683</v>
      </c>
      <c r="I33" s="3">
        <v>279674202.42857993</v>
      </c>
      <c r="J33" s="3">
        <v>787162.83325575676</v>
      </c>
      <c r="K33" s="3">
        <f t="shared" si="2"/>
        <v>280461365.26183569</v>
      </c>
      <c r="L33" s="3">
        <f>IFERROR(INDEX('CHIRP Payment Calc'!K:K,MATCH(A:A,'CHIRP Payment Calc'!A:A,0)),0)</f>
        <v>317933272.70977235</v>
      </c>
      <c r="M33" s="3">
        <f t="shared" si="3"/>
        <v>-37471907.447936654</v>
      </c>
    </row>
    <row r="34" spans="1:13">
      <c r="A34" s="9" t="s">
        <v>938</v>
      </c>
      <c r="B34" s="9" t="s">
        <v>223</v>
      </c>
      <c r="C34" s="9" t="s">
        <v>1644</v>
      </c>
      <c r="D34" s="4" t="s">
        <v>939</v>
      </c>
      <c r="E34" s="14" t="s">
        <v>939</v>
      </c>
      <c r="F34" s="14" t="s">
        <v>940</v>
      </c>
      <c r="G34" s="14" t="s">
        <v>938</v>
      </c>
      <c r="H34" s="9" t="s">
        <v>2682</v>
      </c>
      <c r="I34" s="3">
        <v>5697814.1168234637</v>
      </c>
      <c r="J34" s="3">
        <v>0</v>
      </c>
      <c r="K34" s="3">
        <f t="shared" si="2"/>
        <v>5697814.1168234637</v>
      </c>
      <c r="L34" s="3">
        <f>IFERROR(INDEX('CHIRP Payment Calc'!K:K,MATCH(A:A,'CHIRP Payment Calc'!A:A,0)),0)</f>
        <v>0</v>
      </c>
      <c r="M34" s="3">
        <f t="shared" si="3"/>
        <v>5697814.1168234637</v>
      </c>
    </row>
    <row r="35" spans="1:13">
      <c r="A35" s="9" t="s">
        <v>58</v>
      </c>
      <c r="B35" s="9" t="s">
        <v>223</v>
      </c>
      <c r="C35" s="9" t="s">
        <v>1644</v>
      </c>
      <c r="D35" s="4" t="s">
        <v>59</v>
      </c>
      <c r="E35" s="14" t="s">
        <v>59</v>
      </c>
      <c r="F35" s="14" t="s">
        <v>60</v>
      </c>
      <c r="G35" s="14" t="s">
        <v>58</v>
      </c>
      <c r="H35" s="9" t="s">
        <v>2681</v>
      </c>
      <c r="I35" s="3">
        <v>47979539.196181417</v>
      </c>
      <c r="J35" s="3">
        <v>8645.0447658013054</v>
      </c>
      <c r="K35" s="3">
        <f t="shared" si="2"/>
        <v>47988184.240947217</v>
      </c>
      <c r="L35" s="3">
        <f>IFERROR(INDEX('CHIRP Payment Calc'!K:K,MATCH(A:A,'CHIRP Payment Calc'!A:A,0)),0)</f>
        <v>52786624.156263456</v>
      </c>
      <c r="M35" s="3">
        <f t="shared" si="3"/>
        <v>-4798439.915316239</v>
      </c>
    </row>
    <row r="36" spans="1:13">
      <c r="A36" s="9" t="s">
        <v>437</v>
      </c>
      <c r="B36" s="9" t="s">
        <v>223</v>
      </c>
      <c r="C36" s="9" t="s">
        <v>1644</v>
      </c>
      <c r="D36" s="4" t="s">
        <v>438</v>
      </c>
      <c r="E36" s="14" t="s">
        <v>438</v>
      </c>
      <c r="F36" s="14" t="s">
        <v>439</v>
      </c>
      <c r="G36" s="14" t="s">
        <v>437</v>
      </c>
      <c r="H36" s="9" t="s">
        <v>2680</v>
      </c>
      <c r="I36" s="3">
        <v>4760347.2115128031</v>
      </c>
      <c r="J36" s="3">
        <v>1753.8553585577174</v>
      </c>
      <c r="K36" s="3">
        <f t="shared" si="2"/>
        <v>4762101.0668713609</v>
      </c>
      <c r="L36" s="3">
        <f>IFERROR(INDEX('CHIRP Payment Calc'!K:K,MATCH(A:A,'CHIRP Payment Calc'!A:A,0)),0)</f>
        <v>7961053.3617359074</v>
      </c>
      <c r="M36" s="3">
        <f t="shared" si="3"/>
        <v>-3198952.2948645465</v>
      </c>
    </row>
    <row r="37" spans="1:13">
      <c r="A37" s="9" t="s">
        <v>1256</v>
      </c>
      <c r="B37" s="9" t="s">
        <v>223</v>
      </c>
      <c r="C37" s="9" t="s">
        <v>2236</v>
      </c>
      <c r="D37" s="4" t="s">
        <v>1257</v>
      </c>
      <c r="E37" s="14" t="s">
        <v>1257</v>
      </c>
      <c r="F37" s="14" t="s">
        <v>1258</v>
      </c>
      <c r="G37" s="14" t="s">
        <v>1256</v>
      </c>
      <c r="H37" s="9" t="s">
        <v>2679</v>
      </c>
      <c r="I37" s="3">
        <v>1596026.2321943569</v>
      </c>
      <c r="J37" s="3">
        <v>0</v>
      </c>
      <c r="K37" s="3">
        <f t="shared" si="2"/>
        <v>1596026.2321943569</v>
      </c>
      <c r="L37" s="3">
        <f>IFERROR(INDEX('CHIRP Payment Calc'!K:K,MATCH(A:A,'CHIRP Payment Calc'!A:A,0)),0)</f>
        <v>1467977.6289127893</v>
      </c>
      <c r="M37" s="3">
        <f t="shared" si="3"/>
        <v>128048.60328156757</v>
      </c>
    </row>
    <row r="38" spans="1:13">
      <c r="A38" s="9" t="s">
        <v>1322</v>
      </c>
      <c r="B38" s="9" t="s">
        <v>223</v>
      </c>
      <c r="C38" s="9" t="s">
        <v>2236</v>
      </c>
      <c r="D38" s="4" t="s">
        <v>1323</v>
      </c>
      <c r="E38" s="14" t="s">
        <v>1323</v>
      </c>
      <c r="F38" s="14" t="s">
        <v>1324</v>
      </c>
      <c r="G38" s="14" t="s">
        <v>1322</v>
      </c>
      <c r="H38" s="9" t="s">
        <v>2678</v>
      </c>
      <c r="I38" s="3">
        <v>0</v>
      </c>
      <c r="J38" s="3">
        <v>0</v>
      </c>
      <c r="K38" s="3">
        <f t="shared" si="2"/>
        <v>0</v>
      </c>
      <c r="L38" s="3">
        <f>IFERROR(INDEX('CHIRP Payment Calc'!K:K,MATCH(A:A,'CHIRP Payment Calc'!A:A,0)),0)</f>
        <v>0</v>
      </c>
      <c r="M38" s="3">
        <f t="shared" si="3"/>
        <v>0</v>
      </c>
    </row>
    <row r="39" spans="1:13">
      <c r="A39" s="9" t="s">
        <v>1234</v>
      </c>
      <c r="B39" s="9" t="s">
        <v>223</v>
      </c>
      <c r="C39" s="9" t="s">
        <v>2236</v>
      </c>
      <c r="D39" s="4" t="s">
        <v>1235</v>
      </c>
      <c r="E39" s="14" t="s">
        <v>1235</v>
      </c>
      <c r="F39" s="14" t="s">
        <v>1236</v>
      </c>
      <c r="G39" s="14" t="s">
        <v>1234</v>
      </c>
      <c r="H39" s="9" t="s">
        <v>2677</v>
      </c>
      <c r="I39" s="3">
        <v>3863860.1329224235</v>
      </c>
      <c r="J39" s="3">
        <v>0</v>
      </c>
      <c r="K39" s="3">
        <f t="shared" si="2"/>
        <v>3863860.1329224235</v>
      </c>
      <c r="L39" s="3">
        <f>IFERROR(INDEX('CHIRP Payment Calc'!K:K,MATCH(A:A,'CHIRP Payment Calc'!A:A,0)),0)</f>
        <v>1833367.8338286444</v>
      </c>
      <c r="M39" s="3">
        <f t="shared" si="3"/>
        <v>2030492.2990937792</v>
      </c>
    </row>
    <row r="40" spans="1:13">
      <c r="A40" s="9" t="s">
        <v>1241</v>
      </c>
      <c r="B40" s="9" t="s">
        <v>223</v>
      </c>
      <c r="C40" s="9" t="s">
        <v>2236</v>
      </c>
      <c r="D40" s="4" t="s">
        <v>1242</v>
      </c>
      <c r="E40" s="14" t="s">
        <v>1242</v>
      </c>
      <c r="F40" s="14" t="s">
        <v>1243</v>
      </c>
      <c r="G40" s="14" t="s">
        <v>1241</v>
      </c>
      <c r="H40" s="9" t="s">
        <v>2676</v>
      </c>
      <c r="I40" s="3">
        <v>45859.13500658008</v>
      </c>
      <c r="J40" s="3">
        <v>0</v>
      </c>
      <c r="K40" s="3">
        <f t="shared" si="2"/>
        <v>45859.13500658008</v>
      </c>
      <c r="L40" s="3">
        <f>IFERROR(INDEX('CHIRP Payment Calc'!K:K,MATCH(A:A,'CHIRP Payment Calc'!A:A,0)),0)</f>
        <v>0</v>
      </c>
      <c r="M40" s="3">
        <f t="shared" si="3"/>
        <v>45859.13500658008</v>
      </c>
    </row>
    <row r="41" spans="1:13">
      <c r="A41" s="9" t="s">
        <v>2800</v>
      </c>
      <c r="B41" s="9" t="s">
        <v>223</v>
      </c>
      <c r="C41" s="9" t="s">
        <v>2236</v>
      </c>
      <c r="D41" s="4" t="s">
        <v>1445</v>
      </c>
      <c r="E41" s="14" t="s">
        <v>2800</v>
      </c>
      <c r="F41" s="14" t="e">
        <v>#N/A</v>
      </c>
      <c r="G41" s="14" t="s">
        <v>2800</v>
      </c>
      <c r="H41" s="9" t="s">
        <v>2675</v>
      </c>
      <c r="I41" s="3">
        <v>0</v>
      </c>
      <c r="J41" s="3">
        <v>0</v>
      </c>
      <c r="K41" s="3">
        <f t="shared" si="2"/>
        <v>0</v>
      </c>
      <c r="L41" s="3">
        <f>IFERROR(INDEX('CHIRP Payment Calc'!K:K,MATCH(A:A,'CHIRP Payment Calc'!A:A,0)),0)</f>
        <v>0</v>
      </c>
      <c r="M41" s="3">
        <f t="shared" si="3"/>
        <v>0</v>
      </c>
    </row>
    <row r="42" spans="1:13">
      <c r="A42" s="9" t="s">
        <v>1250</v>
      </c>
      <c r="B42" s="9" t="s">
        <v>223</v>
      </c>
      <c r="C42" s="9" t="s">
        <v>2236</v>
      </c>
      <c r="D42" s="4" t="s">
        <v>1251</v>
      </c>
      <c r="E42" s="14" t="s">
        <v>1251</v>
      </c>
      <c r="F42" s="14" t="s">
        <v>1252</v>
      </c>
      <c r="G42" s="14" t="s">
        <v>1250</v>
      </c>
      <c r="H42" s="9" t="s">
        <v>2674</v>
      </c>
      <c r="I42" s="3">
        <v>283973.55776054302</v>
      </c>
      <c r="J42" s="3">
        <v>0</v>
      </c>
      <c r="K42" s="3">
        <f t="shared" si="2"/>
        <v>283973.55776054302</v>
      </c>
      <c r="L42" s="3">
        <f>IFERROR(INDEX('CHIRP Payment Calc'!K:K,MATCH(A:A,'CHIRP Payment Calc'!A:A,0)),0)</f>
        <v>861115.13209378242</v>
      </c>
      <c r="M42" s="3">
        <f t="shared" si="3"/>
        <v>-577141.57433323935</v>
      </c>
    </row>
    <row r="43" spans="1:13">
      <c r="A43" s="9" t="s">
        <v>1247</v>
      </c>
      <c r="B43" s="9" t="s">
        <v>223</v>
      </c>
      <c r="C43" s="9" t="s">
        <v>2236</v>
      </c>
      <c r="D43" s="4" t="s">
        <v>1248</v>
      </c>
      <c r="E43" s="14" t="s">
        <v>1248</v>
      </c>
      <c r="F43" s="14" t="s">
        <v>1249</v>
      </c>
      <c r="G43" s="14" t="s">
        <v>1247</v>
      </c>
      <c r="H43" s="9" t="s">
        <v>2673</v>
      </c>
      <c r="I43" s="3">
        <v>105865.94321027974</v>
      </c>
      <c r="J43" s="3">
        <v>0</v>
      </c>
      <c r="K43" s="3">
        <f t="shared" si="2"/>
        <v>105865.94321027974</v>
      </c>
      <c r="L43" s="3">
        <f>IFERROR(INDEX('CHIRP Payment Calc'!K:K,MATCH(A:A,'CHIRP Payment Calc'!A:A,0)),0)</f>
        <v>413788.18853977515</v>
      </c>
      <c r="M43" s="3">
        <f t="shared" si="3"/>
        <v>-307922.2453294954</v>
      </c>
    </row>
    <row r="44" spans="1:13">
      <c r="A44" s="9" t="s">
        <v>762</v>
      </c>
      <c r="B44" s="9" t="s">
        <v>223</v>
      </c>
      <c r="C44" s="9" t="s">
        <v>1558</v>
      </c>
      <c r="D44" s="4" t="s">
        <v>763</v>
      </c>
      <c r="E44" s="14" t="s">
        <v>763</v>
      </c>
      <c r="F44" s="14" t="s">
        <v>764</v>
      </c>
      <c r="G44" s="14" t="s">
        <v>762</v>
      </c>
      <c r="H44" s="9" t="s">
        <v>2672</v>
      </c>
      <c r="I44" s="3">
        <v>6165415.9316114169</v>
      </c>
      <c r="J44" s="3">
        <v>2403506.240436112</v>
      </c>
      <c r="K44" s="3">
        <f t="shared" si="2"/>
        <v>8568922.1720475294</v>
      </c>
      <c r="L44" s="3">
        <f>IFERROR(INDEX('CHIRP Payment Calc'!K:K,MATCH(A:A,'CHIRP Payment Calc'!A:A,0)),0)</f>
        <v>11515434.554636719</v>
      </c>
      <c r="M44" s="3">
        <f t="shared" si="3"/>
        <v>-2946512.3825891893</v>
      </c>
    </row>
    <row r="45" spans="1:13">
      <c r="A45" s="9" t="s">
        <v>2800</v>
      </c>
      <c r="B45" s="9" t="s">
        <v>223</v>
      </c>
      <c r="C45" s="9" t="s">
        <v>222</v>
      </c>
      <c r="D45" s="4" t="s">
        <v>2671</v>
      </c>
      <c r="E45" s="14" t="s">
        <v>2800</v>
      </c>
      <c r="F45" s="14" t="e">
        <v>#N/A</v>
      </c>
      <c r="G45" s="14" t="s">
        <v>2800</v>
      </c>
      <c r="H45" s="9" t="s">
        <v>2166</v>
      </c>
      <c r="I45" s="3">
        <v>0</v>
      </c>
      <c r="J45" s="3">
        <v>0</v>
      </c>
      <c r="K45" s="3">
        <f t="shared" si="2"/>
        <v>0</v>
      </c>
      <c r="L45" s="3">
        <f>IFERROR(INDEX('CHIRP Payment Calc'!K:K,MATCH(A:A,'CHIRP Payment Calc'!A:A,0)),0)</f>
        <v>0</v>
      </c>
      <c r="M45" s="3">
        <f t="shared" si="3"/>
        <v>0</v>
      </c>
    </row>
    <row r="46" spans="1:13">
      <c r="A46" s="9" t="s">
        <v>1818</v>
      </c>
      <c r="B46" s="9" t="s">
        <v>223</v>
      </c>
      <c r="C46" s="9" t="s">
        <v>222</v>
      </c>
      <c r="D46" s="4" t="s">
        <v>1819</v>
      </c>
      <c r="E46" s="14" t="s">
        <v>1819</v>
      </c>
      <c r="F46" s="14" t="e">
        <v>#N/A</v>
      </c>
      <c r="G46" s="14" t="s">
        <v>1818</v>
      </c>
      <c r="H46" s="9" t="s">
        <v>1817</v>
      </c>
      <c r="I46" s="3">
        <v>0</v>
      </c>
      <c r="J46" s="3">
        <v>0</v>
      </c>
      <c r="K46" s="3">
        <f t="shared" si="2"/>
        <v>0</v>
      </c>
      <c r="L46" s="3">
        <f>IFERROR(INDEX('CHIRP Payment Calc'!K:K,MATCH(A:A,'CHIRP Payment Calc'!A:A,0)),0)</f>
        <v>0</v>
      </c>
      <c r="M46" s="3">
        <f t="shared" si="3"/>
        <v>0</v>
      </c>
    </row>
    <row r="47" spans="1:13">
      <c r="A47" s="9" t="s">
        <v>267</v>
      </c>
      <c r="B47" s="9" t="s">
        <v>223</v>
      </c>
      <c r="C47" s="9" t="s">
        <v>222</v>
      </c>
      <c r="D47" s="4" t="s">
        <v>268</v>
      </c>
      <c r="E47" s="14" t="s">
        <v>268</v>
      </c>
      <c r="F47" s="14" t="s">
        <v>269</v>
      </c>
      <c r="G47" s="14" t="s">
        <v>267</v>
      </c>
      <c r="H47" s="9" t="s">
        <v>2670</v>
      </c>
      <c r="I47" s="3">
        <v>3716328.226755213</v>
      </c>
      <c r="J47" s="3">
        <v>2107903.8875929681</v>
      </c>
      <c r="K47" s="3">
        <f t="shared" si="2"/>
        <v>5824232.1143481806</v>
      </c>
      <c r="L47" s="3">
        <f>IFERROR(INDEX('CHIRP Payment Calc'!K:K,MATCH(A:A,'CHIRP Payment Calc'!A:A,0)),0)</f>
        <v>5823208.5422813147</v>
      </c>
      <c r="M47" s="3">
        <f t="shared" si="3"/>
        <v>1023.5720668658614</v>
      </c>
    </row>
    <row r="48" spans="1:13">
      <c r="A48" s="9" t="s">
        <v>1495</v>
      </c>
      <c r="B48" s="9" t="s">
        <v>223</v>
      </c>
      <c r="C48" s="9" t="s">
        <v>222</v>
      </c>
      <c r="D48" s="4" t="s">
        <v>1496</v>
      </c>
      <c r="E48" s="14" t="s">
        <v>1496</v>
      </c>
      <c r="F48" s="14" t="s">
        <v>1497</v>
      </c>
      <c r="G48" s="14" t="s">
        <v>1495</v>
      </c>
      <c r="H48" s="9" t="s">
        <v>2669</v>
      </c>
      <c r="I48" s="3">
        <v>0</v>
      </c>
      <c r="J48" s="3">
        <v>0</v>
      </c>
      <c r="K48" s="3">
        <f t="shared" si="2"/>
        <v>0</v>
      </c>
      <c r="L48" s="3">
        <f>IFERROR(INDEX('CHIRP Payment Calc'!K:K,MATCH(A:A,'CHIRP Payment Calc'!A:A,0)),0)</f>
        <v>25660.859152588102</v>
      </c>
      <c r="M48" s="3">
        <f t="shared" si="3"/>
        <v>-25660.859152588102</v>
      </c>
    </row>
    <row r="49" spans="1:13">
      <c r="A49" s="9" t="s">
        <v>1572</v>
      </c>
      <c r="B49" s="9" t="s">
        <v>223</v>
      </c>
      <c r="C49" s="9" t="s">
        <v>222</v>
      </c>
      <c r="D49" s="4" t="s">
        <v>1360</v>
      </c>
      <c r="E49" s="14" t="s">
        <v>2758</v>
      </c>
      <c r="F49" s="14" t="s">
        <v>1361</v>
      </c>
      <c r="G49" s="14" t="s">
        <v>1572</v>
      </c>
      <c r="H49" s="9" t="s">
        <v>2668</v>
      </c>
      <c r="I49" s="3">
        <v>0</v>
      </c>
      <c r="J49" s="3">
        <v>0</v>
      </c>
      <c r="K49" s="3">
        <f t="shared" si="2"/>
        <v>0</v>
      </c>
      <c r="L49" s="3">
        <f>IFERROR(INDEX('CHIRP Payment Calc'!K:K,MATCH(A:A,'CHIRP Payment Calc'!A:A,0)),0)</f>
        <v>0</v>
      </c>
      <c r="M49" s="3">
        <f t="shared" si="3"/>
        <v>0</v>
      </c>
    </row>
    <row r="50" spans="1:13">
      <c r="A50" s="9" t="s">
        <v>380</v>
      </c>
      <c r="B50" s="9" t="s">
        <v>223</v>
      </c>
      <c r="C50" s="9" t="s">
        <v>222</v>
      </c>
      <c r="D50" s="4" t="s">
        <v>381</v>
      </c>
      <c r="E50" s="14" t="s">
        <v>381</v>
      </c>
      <c r="F50" s="14" t="s">
        <v>382</v>
      </c>
      <c r="G50" s="14" t="s">
        <v>380</v>
      </c>
      <c r="H50" s="9" t="s">
        <v>2667</v>
      </c>
      <c r="I50" s="3">
        <v>0</v>
      </c>
      <c r="J50" s="3">
        <v>0</v>
      </c>
      <c r="K50" s="3">
        <f t="shared" si="2"/>
        <v>0</v>
      </c>
      <c r="L50" s="3">
        <f>IFERROR(INDEX('CHIRP Payment Calc'!K:K,MATCH(A:A,'CHIRP Payment Calc'!A:A,0)),0)</f>
        <v>0</v>
      </c>
      <c r="M50" s="3">
        <f t="shared" si="3"/>
        <v>0</v>
      </c>
    </row>
    <row r="51" spans="1:13">
      <c r="A51" s="9" t="s">
        <v>971</v>
      </c>
      <c r="B51" s="9" t="s">
        <v>223</v>
      </c>
      <c r="C51" s="9" t="s">
        <v>222</v>
      </c>
      <c r="D51" s="4" t="s">
        <v>972</v>
      </c>
      <c r="E51" s="14" t="s">
        <v>972</v>
      </c>
      <c r="F51" s="14" t="s">
        <v>973</v>
      </c>
      <c r="G51" s="14" t="s">
        <v>971</v>
      </c>
      <c r="H51" s="9" t="s">
        <v>2666</v>
      </c>
      <c r="I51" s="3">
        <v>4004040.2857571137</v>
      </c>
      <c r="J51" s="3">
        <v>5744477.7540753912</v>
      </c>
      <c r="K51" s="3">
        <f t="shared" si="2"/>
        <v>9748518.0398325045</v>
      </c>
      <c r="L51" s="3">
        <f>IFERROR(INDEX('CHIRP Payment Calc'!K:K,MATCH(A:A,'CHIRP Payment Calc'!A:A,0)),0)</f>
        <v>9375788.1831017565</v>
      </c>
      <c r="M51" s="3">
        <f t="shared" si="3"/>
        <v>372729.85673074797</v>
      </c>
    </row>
    <row r="52" spans="1:13">
      <c r="A52" s="9" t="s">
        <v>34</v>
      </c>
      <c r="B52" s="9" t="s">
        <v>223</v>
      </c>
      <c r="C52" s="9" t="s">
        <v>222</v>
      </c>
      <c r="D52" s="4" t="s">
        <v>35</v>
      </c>
      <c r="E52" s="14" t="s">
        <v>35</v>
      </c>
      <c r="F52" s="14" t="s">
        <v>36</v>
      </c>
      <c r="G52" s="14" t="s">
        <v>34</v>
      </c>
      <c r="H52" s="9" t="s">
        <v>2665</v>
      </c>
      <c r="I52" s="3">
        <v>1502643.4178047571</v>
      </c>
      <c r="J52" s="3">
        <v>292783.03197383281</v>
      </c>
      <c r="K52" s="3">
        <f t="shared" si="2"/>
        <v>1795426.4497785899</v>
      </c>
      <c r="L52" s="3">
        <f>IFERROR(INDEX('CHIRP Payment Calc'!K:K,MATCH(A:A,'CHIRP Payment Calc'!A:A,0)),0)</f>
        <v>1570925.8358100725</v>
      </c>
      <c r="M52" s="3">
        <f t="shared" si="3"/>
        <v>224500.6139685174</v>
      </c>
    </row>
    <row r="53" spans="1:13">
      <c r="A53" s="9" t="s">
        <v>1415</v>
      </c>
      <c r="B53" s="9" t="s">
        <v>223</v>
      </c>
      <c r="C53" s="9" t="s">
        <v>222</v>
      </c>
      <c r="D53" s="4" t="s">
        <v>1416</v>
      </c>
      <c r="E53" s="14" t="s">
        <v>1416</v>
      </c>
      <c r="F53" s="14" t="s">
        <v>1417</v>
      </c>
      <c r="G53" s="14" t="s">
        <v>1415</v>
      </c>
      <c r="H53" s="9" t="s">
        <v>2664</v>
      </c>
      <c r="I53" s="3">
        <v>0</v>
      </c>
      <c r="J53" s="3">
        <v>225040.76323856658</v>
      </c>
      <c r="K53" s="3">
        <f t="shared" si="2"/>
        <v>225040.76323856658</v>
      </c>
      <c r="L53" s="3">
        <f>IFERROR(INDEX('CHIRP Payment Calc'!K:K,MATCH(A:A,'CHIRP Payment Calc'!A:A,0)),0)</f>
        <v>266231.55928039947</v>
      </c>
      <c r="M53" s="3">
        <f t="shared" si="3"/>
        <v>-41190.796041832888</v>
      </c>
    </row>
    <row r="54" spans="1:13">
      <c r="A54" s="9" t="s">
        <v>377</v>
      </c>
      <c r="B54" s="9" t="s">
        <v>223</v>
      </c>
      <c r="C54" s="9" t="s">
        <v>222</v>
      </c>
      <c r="D54" s="4" t="s">
        <v>378</v>
      </c>
      <c r="E54" s="14" t="s">
        <v>378</v>
      </c>
      <c r="F54" s="14" t="s">
        <v>379</v>
      </c>
      <c r="G54" s="14" t="s">
        <v>377</v>
      </c>
      <c r="H54" s="9" t="s">
        <v>2663</v>
      </c>
      <c r="I54" s="3">
        <v>0</v>
      </c>
      <c r="J54" s="3">
        <v>0</v>
      </c>
      <c r="K54" s="3">
        <f t="shared" si="2"/>
        <v>0</v>
      </c>
      <c r="L54" s="3">
        <f>IFERROR(INDEX('CHIRP Payment Calc'!K:K,MATCH(A:A,'CHIRP Payment Calc'!A:A,0)),0)</f>
        <v>0</v>
      </c>
      <c r="M54" s="3">
        <f t="shared" si="3"/>
        <v>0</v>
      </c>
    </row>
    <row r="55" spans="1:13">
      <c r="A55" s="9" t="s">
        <v>783</v>
      </c>
      <c r="B55" s="9" t="s">
        <v>223</v>
      </c>
      <c r="C55" s="9" t="s">
        <v>222</v>
      </c>
      <c r="D55" s="4" t="s">
        <v>784</v>
      </c>
      <c r="E55" s="14" t="s">
        <v>784</v>
      </c>
      <c r="F55" s="14" t="s">
        <v>785</v>
      </c>
      <c r="G55" s="14" t="s">
        <v>783</v>
      </c>
      <c r="H55" s="9" t="s">
        <v>2662</v>
      </c>
      <c r="I55" s="3">
        <v>4367268.7291392339</v>
      </c>
      <c r="J55" s="3">
        <v>1494517.2098827362</v>
      </c>
      <c r="K55" s="3">
        <f t="shared" si="2"/>
        <v>5861785.9390219701</v>
      </c>
      <c r="L55" s="3">
        <f>IFERROR(INDEX('CHIRP Payment Calc'!K:K,MATCH(A:A,'CHIRP Payment Calc'!A:A,0)),0)</f>
        <v>6015096.2803063542</v>
      </c>
      <c r="M55" s="3">
        <f t="shared" si="3"/>
        <v>-153310.34128438402</v>
      </c>
    </row>
    <row r="56" spans="1:13">
      <c r="A56" s="9" t="s">
        <v>1128</v>
      </c>
      <c r="B56" s="9" t="s">
        <v>223</v>
      </c>
      <c r="C56" s="9" t="s">
        <v>222</v>
      </c>
      <c r="D56" s="4" t="s">
        <v>1129</v>
      </c>
      <c r="E56" s="14" t="s">
        <v>1129</v>
      </c>
      <c r="F56" s="14" t="s">
        <v>1130</v>
      </c>
      <c r="G56" s="14" t="s">
        <v>1128</v>
      </c>
      <c r="H56" s="9" t="s">
        <v>1130</v>
      </c>
      <c r="I56" s="3">
        <v>8938.8246750786857</v>
      </c>
      <c r="J56" s="3">
        <v>987.39054526553946</v>
      </c>
      <c r="K56" s="3">
        <f t="shared" si="2"/>
        <v>9926.2152203442256</v>
      </c>
      <c r="L56" s="3">
        <f>IFERROR(INDEX('CHIRP Payment Calc'!K:K,MATCH(A:A,'CHIRP Payment Calc'!A:A,0)),0)</f>
        <v>0</v>
      </c>
      <c r="M56" s="3">
        <f t="shared" si="3"/>
        <v>9926.2152203442256</v>
      </c>
    </row>
    <row r="57" spans="1:13">
      <c r="A57" s="9" t="s">
        <v>434</v>
      </c>
      <c r="B57" s="9" t="s">
        <v>223</v>
      </c>
      <c r="C57" s="9" t="s">
        <v>222</v>
      </c>
      <c r="D57" s="4" t="s">
        <v>435</v>
      </c>
      <c r="E57" s="14" t="s">
        <v>435</v>
      </c>
      <c r="F57" s="14" t="s">
        <v>436</v>
      </c>
      <c r="G57" s="14" t="s">
        <v>434</v>
      </c>
      <c r="H57" s="9" t="s">
        <v>2661</v>
      </c>
      <c r="I57" s="3">
        <v>379984.38645528158</v>
      </c>
      <c r="J57" s="3">
        <v>1281255.4434707561</v>
      </c>
      <c r="K57" s="3">
        <f t="shared" si="2"/>
        <v>1661239.8299260377</v>
      </c>
      <c r="L57" s="3">
        <f>IFERROR(INDEX('CHIRP Payment Calc'!K:K,MATCH(A:A,'CHIRP Payment Calc'!A:A,0)),0)</f>
        <v>0</v>
      </c>
      <c r="M57" s="3">
        <f t="shared" si="3"/>
        <v>1661239.8299260377</v>
      </c>
    </row>
    <row r="58" spans="1:13">
      <c r="A58" s="9" t="s">
        <v>518</v>
      </c>
      <c r="B58" s="9" t="s">
        <v>223</v>
      </c>
      <c r="C58" s="9" t="s">
        <v>222</v>
      </c>
      <c r="D58" s="4" t="s">
        <v>519</v>
      </c>
      <c r="E58" s="14" t="s">
        <v>519</v>
      </c>
      <c r="F58" s="14" t="s">
        <v>520</v>
      </c>
      <c r="G58" s="14" t="s">
        <v>518</v>
      </c>
      <c r="H58" s="9" t="s">
        <v>2112</v>
      </c>
      <c r="I58" s="3">
        <v>1494188.2999223873</v>
      </c>
      <c r="J58" s="3">
        <v>648041.21290250379</v>
      </c>
      <c r="K58" s="3">
        <f t="shared" si="2"/>
        <v>2142229.5128248911</v>
      </c>
      <c r="L58" s="3">
        <f>IFERROR(INDEX('CHIRP Payment Calc'!K:K,MATCH(A:A,'CHIRP Payment Calc'!A:A,0)),0)</f>
        <v>3306634.6915469868</v>
      </c>
      <c r="M58" s="3">
        <f t="shared" si="3"/>
        <v>-1164405.1787220957</v>
      </c>
    </row>
    <row r="59" spans="1:13">
      <c r="A59" s="9" t="s">
        <v>874</v>
      </c>
      <c r="B59" s="9" t="s">
        <v>223</v>
      </c>
      <c r="C59" s="9" t="s">
        <v>222</v>
      </c>
      <c r="D59" s="4" t="s">
        <v>875</v>
      </c>
      <c r="E59" s="14" t="s">
        <v>875</v>
      </c>
      <c r="F59" s="14" t="s">
        <v>876</v>
      </c>
      <c r="G59" s="14" t="s">
        <v>874</v>
      </c>
      <c r="H59" s="9" t="s">
        <v>2660</v>
      </c>
      <c r="I59" s="3">
        <v>5246905.0589887807</v>
      </c>
      <c r="J59" s="3">
        <v>6959702.8737021349</v>
      </c>
      <c r="K59" s="3">
        <f t="shared" si="2"/>
        <v>12206607.932690915</v>
      </c>
      <c r="L59" s="3">
        <f>IFERROR(INDEX('CHIRP Payment Calc'!K:K,MATCH(A:A,'CHIRP Payment Calc'!A:A,0)),0)</f>
        <v>12104152.130202675</v>
      </c>
      <c r="M59" s="3">
        <f t="shared" si="3"/>
        <v>102455.80248823948</v>
      </c>
    </row>
    <row r="60" spans="1:13">
      <c r="A60" s="9" t="s">
        <v>1367</v>
      </c>
      <c r="B60" s="9" t="s">
        <v>223</v>
      </c>
      <c r="C60" s="9" t="s">
        <v>222</v>
      </c>
      <c r="D60" s="4" t="s">
        <v>1368</v>
      </c>
      <c r="E60" s="14" t="s">
        <v>1368</v>
      </c>
      <c r="F60" s="14" t="s">
        <v>1369</v>
      </c>
      <c r="G60" s="14" t="s">
        <v>1367</v>
      </c>
      <c r="H60" s="9" t="s">
        <v>2659</v>
      </c>
      <c r="I60" s="3">
        <v>0</v>
      </c>
      <c r="J60" s="3">
        <v>145.43532090765507</v>
      </c>
      <c r="K60" s="3">
        <f t="shared" si="2"/>
        <v>145.43532090765507</v>
      </c>
      <c r="L60" s="3">
        <f>IFERROR(INDEX('CHIRP Payment Calc'!K:K,MATCH(A:A,'CHIRP Payment Calc'!A:A,0)),0)</f>
        <v>0</v>
      </c>
      <c r="M60" s="3">
        <f t="shared" si="3"/>
        <v>145.43532090765507</v>
      </c>
    </row>
    <row r="61" spans="1:13">
      <c r="A61" s="9" t="s">
        <v>968</v>
      </c>
      <c r="B61" s="9" t="s">
        <v>223</v>
      </c>
      <c r="C61" s="9" t="s">
        <v>222</v>
      </c>
      <c r="D61" s="4" t="s">
        <v>969</v>
      </c>
      <c r="E61" s="14" t="s">
        <v>969</v>
      </c>
      <c r="F61" s="14" t="s">
        <v>970</v>
      </c>
      <c r="G61" s="14" t="s">
        <v>968</v>
      </c>
      <c r="H61" s="9" t="s">
        <v>970</v>
      </c>
      <c r="I61" s="3">
        <v>64239.024703958981</v>
      </c>
      <c r="J61" s="3">
        <v>894.65613458409098</v>
      </c>
      <c r="K61" s="3">
        <f t="shared" si="2"/>
        <v>65133.68083854307</v>
      </c>
      <c r="L61" s="3">
        <f>IFERROR(INDEX('CHIRP Payment Calc'!K:K,MATCH(A:A,'CHIRP Payment Calc'!A:A,0)),0)</f>
        <v>56682.447749754174</v>
      </c>
      <c r="M61" s="3">
        <f t="shared" si="3"/>
        <v>8451.2330887888966</v>
      </c>
    </row>
    <row r="62" spans="1:13">
      <c r="A62" s="9" t="s">
        <v>1984</v>
      </c>
      <c r="B62" s="9" t="s">
        <v>223</v>
      </c>
      <c r="C62" s="9" t="s">
        <v>222</v>
      </c>
      <c r="D62" s="4" t="s">
        <v>1985</v>
      </c>
      <c r="E62" s="14" t="s">
        <v>1985</v>
      </c>
      <c r="F62" s="14" t="s">
        <v>1983</v>
      </c>
      <c r="G62" s="14" t="s">
        <v>1984</v>
      </c>
      <c r="H62" s="9" t="s">
        <v>1983</v>
      </c>
      <c r="I62" s="3">
        <v>309477.72834664246</v>
      </c>
      <c r="J62" s="3">
        <v>0</v>
      </c>
      <c r="K62" s="3">
        <f t="shared" si="2"/>
        <v>309477.72834664246</v>
      </c>
      <c r="L62" s="3">
        <f>IFERROR(INDEX('CHIRP Payment Calc'!K:K,MATCH(A:A,'CHIRP Payment Calc'!A:A,0)),0)</f>
        <v>0</v>
      </c>
      <c r="M62" s="3">
        <f t="shared" si="3"/>
        <v>309477.72834664246</v>
      </c>
    </row>
    <row r="63" spans="1:13">
      <c r="A63" s="9" t="s">
        <v>103</v>
      </c>
      <c r="B63" s="9" t="s">
        <v>223</v>
      </c>
      <c r="C63" s="9" t="s">
        <v>222</v>
      </c>
      <c r="D63" s="4" t="s">
        <v>104</v>
      </c>
      <c r="E63" s="14" t="s">
        <v>104</v>
      </c>
      <c r="F63" s="14" t="s">
        <v>105</v>
      </c>
      <c r="G63" s="14" t="s">
        <v>103</v>
      </c>
      <c r="H63" s="9" t="s">
        <v>2658</v>
      </c>
      <c r="I63" s="3">
        <v>0</v>
      </c>
      <c r="J63" s="3">
        <v>0</v>
      </c>
      <c r="K63" s="3">
        <f t="shared" si="2"/>
        <v>0</v>
      </c>
      <c r="L63" s="3">
        <f>IFERROR(INDEX('CHIRP Payment Calc'!K:K,MATCH(A:A,'CHIRP Payment Calc'!A:A,0)),0)</f>
        <v>0</v>
      </c>
      <c r="M63" s="3">
        <f t="shared" si="3"/>
        <v>0</v>
      </c>
    </row>
    <row r="64" spans="1:13">
      <c r="A64" s="9" t="s">
        <v>1442</v>
      </c>
      <c r="B64" s="9" t="s">
        <v>223</v>
      </c>
      <c r="C64" s="9" t="s">
        <v>222</v>
      </c>
      <c r="D64" s="4" t="s">
        <v>1443</v>
      </c>
      <c r="E64" s="14" t="s">
        <v>1443</v>
      </c>
      <c r="F64" s="14" t="s">
        <v>1444</v>
      </c>
      <c r="G64" s="14" t="s">
        <v>1442</v>
      </c>
      <c r="H64" s="9" t="s">
        <v>2657</v>
      </c>
      <c r="I64" s="3">
        <v>0</v>
      </c>
      <c r="J64" s="3">
        <v>0</v>
      </c>
      <c r="K64" s="3">
        <f t="shared" si="2"/>
        <v>0</v>
      </c>
      <c r="L64" s="3">
        <f>IFERROR(INDEX('CHIRP Payment Calc'!K:K,MATCH(A:A,'CHIRP Payment Calc'!A:A,0)),0)</f>
        <v>0</v>
      </c>
      <c r="M64" s="3">
        <f t="shared" si="3"/>
        <v>0</v>
      </c>
    </row>
    <row r="65" spans="1:13">
      <c r="A65" s="9" t="s">
        <v>291</v>
      </c>
      <c r="B65" s="9" t="s">
        <v>223</v>
      </c>
      <c r="C65" s="9" t="s">
        <v>222</v>
      </c>
      <c r="D65" s="4" t="s">
        <v>292</v>
      </c>
      <c r="E65" s="14" t="s">
        <v>292</v>
      </c>
      <c r="F65" s="14" t="s">
        <v>293</v>
      </c>
      <c r="G65" s="14" t="s">
        <v>291</v>
      </c>
      <c r="H65" s="9" t="s">
        <v>2656</v>
      </c>
      <c r="I65" s="3">
        <v>0</v>
      </c>
      <c r="J65" s="3">
        <v>31548.348286514731</v>
      </c>
      <c r="K65" s="3">
        <f t="shared" si="2"/>
        <v>31548.348286514731</v>
      </c>
      <c r="L65" s="3">
        <f>IFERROR(INDEX('CHIRP Payment Calc'!K:K,MATCH(A:A,'CHIRP Payment Calc'!A:A,0)),0)</f>
        <v>0</v>
      </c>
      <c r="M65" s="3">
        <f t="shared" si="3"/>
        <v>31548.348286514731</v>
      </c>
    </row>
    <row r="66" spans="1:13">
      <c r="A66" s="9" t="s">
        <v>1113</v>
      </c>
      <c r="B66" s="9" t="s">
        <v>223</v>
      </c>
      <c r="C66" s="9" t="s">
        <v>222</v>
      </c>
      <c r="D66" s="4" t="s">
        <v>1114</v>
      </c>
      <c r="E66" s="14" t="s">
        <v>1114</v>
      </c>
      <c r="F66" s="14" t="s">
        <v>1115</v>
      </c>
      <c r="G66" s="14" t="s">
        <v>1113</v>
      </c>
      <c r="H66" s="9" t="s">
        <v>2655</v>
      </c>
      <c r="I66" s="3">
        <v>12132213.374191867</v>
      </c>
      <c r="J66" s="3">
        <v>8435213.2583940756</v>
      </c>
      <c r="K66" s="3">
        <f t="shared" si="2"/>
        <v>20567426.632585943</v>
      </c>
      <c r="L66" s="3">
        <f>IFERROR(INDEX('CHIRP Payment Calc'!K:K,MATCH(A:A,'CHIRP Payment Calc'!A:A,0)),0)</f>
        <v>15377385.889450978</v>
      </c>
      <c r="M66" s="3">
        <f t="shared" si="3"/>
        <v>5190040.7431349643</v>
      </c>
    </row>
    <row r="67" spans="1:13">
      <c r="A67" s="9" t="s">
        <v>94</v>
      </c>
      <c r="B67" s="9" t="s">
        <v>223</v>
      </c>
      <c r="C67" s="9" t="s">
        <v>222</v>
      </c>
      <c r="D67" s="4" t="s">
        <v>95</v>
      </c>
      <c r="E67" s="14" t="s">
        <v>95</v>
      </c>
      <c r="F67" s="14" t="s">
        <v>96</v>
      </c>
      <c r="G67" s="14" t="s">
        <v>94</v>
      </c>
      <c r="H67" s="9" t="s">
        <v>2654</v>
      </c>
      <c r="I67" s="3">
        <v>0</v>
      </c>
      <c r="J67" s="3">
        <v>0</v>
      </c>
      <c r="K67" s="3">
        <f t="shared" si="2"/>
        <v>0</v>
      </c>
      <c r="L67" s="3">
        <f>IFERROR(INDEX('CHIRP Payment Calc'!K:K,MATCH(A:A,'CHIRP Payment Calc'!A:A,0)),0)</f>
        <v>96205.205468299813</v>
      </c>
      <c r="M67" s="3">
        <f t="shared" si="3"/>
        <v>-96205.205468299813</v>
      </c>
    </row>
    <row r="68" spans="1:13">
      <c r="A68" s="9" t="s">
        <v>605</v>
      </c>
      <c r="B68" s="9" t="s">
        <v>223</v>
      </c>
      <c r="C68" s="9" t="s">
        <v>222</v>
      </c>
      <c r="D68" s="4" t="s">
        <v>606</v>
      </c>
      <c r="E68" s="14" t="s">
        <v>606</v>
      </c>
      <c r="F68" s="14" t="s">
        <v>607</v>
      </c>
      <c r="G68" s="14" t="s">
        <v>605</v>
      </c>
      <c r="H68" s="9" t="s">
        <v>2653</v>
      </c>
      <c r="I68" s="3">
        <v>4086047.5436535566</v>
      </c>
      <c r="J68" s="3">
        <v>2976068.6120769833</v>
      </c>
      <c r="K68" s="3">
        <f t="shared" si="2"/>
        <v>7062116.1557305399</v>
      </c>
      <c r="L68" s="3">
        <f>IFERROR(INDEX('CHIRP Payment Calc'!K:K,MATCH(A:A,'CHIRP Payment Calc'!A:A,0)),0)</f>
        <v>7416403.1884247316</v>
      </c>
      <c r="M68" s="3">
        <f t="shared" si="3"/>
        <v>-354287.03269419167</v>
      </c>
    </row>
    <row r="69" spans="1:13">
      <c r="A69" s="9" t="s">
        <v>524</v>
      </c>
      <c r="B69" s="9" t="s">
        <v>223</v>
      </c>
      <c r="C69" s="9" t="s">
        <v>222</v>
      </c>
      <c r="D69" s="4" t="s">
        <v>525</v>
      </c>
      <c r="E69" s="14" t="s">
        <v>525</v>
      </c>
      <c r="F69" s="14" t="s">
        <v>526</v>
      </c>
      <c r="G69" s="14" t="s">
        <v>524</v>
      </c>
      <c r="H69" s="9" t="s">
        <v>2108</v>
      </c>
      <c r="I69" s="3">
        <v>5255734.5389700774</v>
      </c>
      <c r="J69" s="3">
        <v>8672858.256745033</v>
      </c>
      <c r="K69" s="3">
        <f t="shared" si="2"/>
        <v>13928592.79571511</v>
      </c>
      <c r="L69" s="3">
        <f>IFERROR(INDEX('CHIRP Payment Calc'!K:K,MATCH(A:A,'CHIRP Payment Calc'!A:A,0)),0)</f>
        <v>37339889.029351033</v>
      </c>
      <c r="M69" s="3">
        <f t="shared" si="3"/>
        <v>-23411296.233635925</v>
      </c>
    </row>
    <row r="70" spans="1:13">
      <c r="A70" s="9" t="s">
        <v>1119</v>
      </c>
      <c r="B70" s="9" t="s">
        <v>223</v>
      </c>
      <c r="C70" s="9" t="s">
        <v>222</v>
      </c>
      <c r="D70" s="4" t="s">
        <v>1120</v>
      </c>
      <c r="E70" s="14" t="s">
        <v>1120</v>
      </c>
      <c r="F70" s="14" t="s">
        <v>1121</v>
      </c>
      <c r="G70" s="14" t="s">
        <v>1119</v>
      </c>
      <c r="H70" s="9" t="s">
        <v>2652</v>
      </c>
      <c r="I70" s="3">
        <v>686979.8132496645</v>
      </c>
      <c r="J70" s="3">
        <v>669874.53634649375</v>
      </c>
      <c r="K70" s="3">
        <f t="shared" si="2"/>
        <v>1356854.3495961581</v>
      </c>
      <c r="L70" s="3">
        <f>IFERROR(INDEX('CHIRP Payment Calc'!K:K,MATCH(A:A,'CHIRP Payment Calc'!A:A,0)),0)</f>
        <v>1651714.8029012221</v>
      </c>
      <c r="M70" s="3">
        <f t="shared" si="3"/>
        <v>-294860.453305064</v>
      </c>
    </row>
    <row r="71" spans="1:13">
      <c r="A71" s="9" t="s">
        <v>2800</v>
      </c>
      <c r="B71" s="9" t="s">
        <v>223</v>
      </c>
      <c r="C71" s="9" t="s">
        <v>222</v>
      </c>
      <c r="D71" s="4" t="s">
        <v>2651</v>
      </c>
      <c r="E71" s="14" t="s">
        <v>2800</v>
      </c>
      <c r="F71" s="14" t="e">
        <v>#N/A</v>
      </c>
      <c r="G71" s="14" t="s">
        <v>2800</v>
      </c>
      <c r="H71" s="9" t="s">
        <v>2650</v>
      </c>
      <c r="I71" s="3">
        <v>0</v>
      </c>
      <c r="J71" s="3">
        <v>0</v>
      </c>
      <c r="K71" s="3">
        <f t="shared" si="2"/>
        <v>0</v>
      </c>
      <c r="L71" s="3">
        <f>IFERROR(INDEX('CHIRP Payment Calc'!K:K,MATCH(A:A,'CHIRP Payment Calc'!A:A,0)),0)</f>
        <v>0</v>
      </c>
      <c r="M71" s="3">
        <f t="shared" si="3"/>
        <v>0</v>
      </c>
    </row>
    <row r="72" spans="1:13">
      <c r="A72" s="9" t="s">
        <v>880</v>
      </c>
      <c r="B72" s="9" t="s">
        <v>223</v>
      </c>
      <c r="C72" s="9" t="s">
        <v>222</v>
      </c>
      <c r="D72" s="4" t="s">
        <v>881</v>
      </c>
      <c r="E72" s="14" t="s">
        <v>881</v>
      </c>
      <c r="F72" s="14" t="s">
        <v>882</v>
      </c>
      <c r="G72" s="14" t="s">
        <v>880</v>
      </c>
      <c r="H72" s="9" t="s">
        <v>2649</v>
      </c>
      <c r="I72" s="3">
        <v>12425037.925576687</v>
      </c>
      <c r="J72" s="3">
        <v>9434030.5667901002</v>
      </c>
      <c r="K72" s="3">
        <f t="shared" ref="K72:K135" si="4">I72+J72</f>
        <v>21859068.492366787</v>
      </c>
      <c r="L72" s="3">
        <f>IFERROR(INDEX('CHIRP Payment Calc'!K:K,MATCH(A:A,'CHIRP Payment Calc'!A:A,0)),0)</f>
        <v>19668236.805544987</v>
      </c>
      <c r="M72" s="3">
        <f t="shared" ref="M72:M135" si="5">K72-L72</f>
        <v>2190831.6868217997</v>
      </c>
    </row>
    <row r="73" spans="1:13">
      <c r="A73" s="9" t="s">
        <v>1373</v>
      </c>
      <c r="B73" s="9" t="s">
        <v>223</v>
      </c>
      <c r="C73" s="9" t="s">
        <v>222</v>
      </c>
      <c r="D73" s="4" t="s">
        <v>1374</v>
      </c>
      <c r="E73" s="14" t="s">
        <v>1374</v>
      </c>
      <c r="F73" s="14" t="s">
        <v>1375</v>
      </c>
      <c r="G73" s="14" t="s">
        <v>1373</v>
      </c>
      <c r="H73" s="9" t="s">
        <v>2648</v>
      </c>
      <c r="I73" s="3">
        <v>8581.4988777382569</v>
      </c>
      <c r="J73" s="3">
        <v>28418.746326935045</v>
      </c>
      <c r="K73" s="3">
        <f t="shared" si="4"/>
        <v>37000.245204673301</v>
      </c>
      <c r="L73" s="3">
        <f>IFERROR(INDEX('CHIRP Payment Calc'!K:K,MATCH(A:A,'CHIRP Payment Calc'!A:A,0)),0)</f>
        <v>0</v>
      </c>
      <c r="M73" s="3">
        <f t="shared" si="5"/>
        <v>37000.245204673301</v>
      </c>
    </row>
    <row r="74" spans="1:13">
      <c r="A74" s="9" t="s">
        <v>923</v>
      </c>
      <c r="B74" s="9" t="s">
        <v>223</v>
      </c>
      <c r="C74" s="9" t="s">
        <v>222</v>
      </c>
      <c r="D74" s="4" t="s">
        <v>924</v>
      </c>
      <c r="E74" s="14" t="s">
        <v>924</v>
      </c>
      <c r="F74" s="14" t="s">
        <v>925</v>
      </c>
      <c r="G74" s="14" t="s">
        <v>923</v>
      </c>
      <c r="H74" s="9" t="s">
        <v>2168</v>
      </c>
      <c r="I74" s="3">
        <v>0</v>
      </c>
      <c r="J74" s="3">
        <v>0</v>
      </c>
      <c r="K74" s="3">
        <f t="shared" si="4"/>
        <v>0</v>
      </c>
      <c r="L74" s="3">
        <f>IFERROR(INDEX('CHIRP Payment Calc'!K:K,MATCH(A:A,'CHIRP Payment Calc'!A:A,0)),0)</f>
        <v>0</v>
      </c>
      <c r="M74" s="3">
        <f t="shared" si="5"/>
        <v>0</v>
      </c>
    </row>
    <row r="75" spans="1:13">
      <c r="A75" s="9" t="s">
        <v>428</v>
      </c>
      <c r="B75" s="9" t="s">
        <v>223</v>
      </c>
      <c r="C75" s="9" t="s">
        <v>222</v>
      </c>
      <c r="D75" s="4" t="s">
        <v>429</v>
      </c>
      <c r="E75" s="14" t="s">
        <v>429</v>
      </c>
      <c r="F75" s="14" t="s">
        <v>430</v>
      </c>
      <c r="G75" s="14" t="s">
        <v>428</v>
      </c>
      <c r="H75" s="9" t="s">
        <v>2647</v>
      </c>
      <c r="I75" s="3">
        <v>520877.13201660127</v>
      </c>
      <c r="J75" s="3">
        <v>616336.33745906525</v>
      </c>
      <c r="K75" s="3">
        <f t="shared" si="4"/>
        <v>1137213.4694756665</v>
      </c>
      <c r="L75" s="3">
        <f>IFERROR(INDEX('CHIRP Payment Calc'!K:K,MATCH(A:A,'CHIRP Payment Calc'!A:A,0)),0)</f>
        <v>1704001.4741460215</v>
      </c>
      <c r="M75" s="3">
        <f t="shared" si="5"/>
        <v>-566788.004670355</v>
      </c>
    </row>
    <row r="76" spans="1:13">
      <c r="A76" s="9" t="s">
        <v>25</v>
      </c>
      <c r="B76" s="9" t="s">
        <v>223</v>
      </c>
      <c r="C76" s="9" t="s">
        <v>222</v>
      </c>
      <c r="D76" s="4" t="s">
        <v>26</v>
      </c>
      <c r="E76" s="14" t="s">
        <v>26</v>
      </c>
      <c r="F76" s="14" t="s">
        <v>27</v>
      </c>
      <c r="G76" s="14" t="s">
        <v>25</v>
      </c>
      <c r="H76" s="9" t="s">
        <v>2116</v>
      </c>
      <c r="I76" s="3">
        <v>0</v>
      </c>
      <c r="J76" s="3">
        <v>185556.13603372275</v>
      </c>
      <c r="K76" s="3">
        <f t="shared" si="4"/>
        <v>185556.13603372275</v>
      </c>
      <c r="L76" s="3">
        <f>IFERROR(INDEX('CHIRP Payment Calc'!K:K,MATCH(A:A,'CHIRP Payment Calc'!A:A,0)),0)</f>
        <v>127337.89836442113</v>
      </c>
      <c r="M76" s="3">
        <f t="shared" si="5"/>
        <v>58218.237669301627</v>
      </c>
    </row>
    <row r="77" spans="1:13">
      <c r="A77" s="9" t="s">
        <v>365</v>
      </c>
      <c r="B77" s="9" t="s">
        <v>223</v>
      </c>
      <c r="C77" s="9" t="s">
        <v>222</v>
      </c>
      <c r="D77" s="4" t="s">
        <v>366</v>
      </c>
      <c r="E77" s="14" t="s">
        <v>366</v>
      </c>
      <c r="F77" s="14" t="s">
        <v>367</v>
      </c>
      <c r="G77" s="14" t="s">
        <v>365</v>
      </c>
      <c r="H77" s="9" t="s">
        <v>2646</v>
      </c>
      <c r="I77" s="3">
        <v>895073.47329291969</v>
      </c>
      <c r="J77" s="3">
        <v>638461.75508426991</v>
      </c>
      <c r="K77" s="3">
        <f t="shared" si="4"/>
        <v>1533535.2283771895</v>
      </c>
      <c r="L77" s="3">
        <f>IFERROR(INDEX('CHIRP Payment Calc'!K:K,MATCH(A:A,'CHIRP Payment Calc'!A:A,0)),0)</f>
        <v>1314743.1553804823</v>
      </c>
      <c r="M77" s="3">
        <f t="shared" si="5"/>
        <v>218792.07299670717</v>
      </c>
    </row>
    <row r="78" spans="1:13">
      <c r="A78" s="9" t="s">
        <v>521</v>
      </c>
      <c r="B78" s="9" t="s">
        <v>223</v>
      </c>
      <c r="C78" s="9" t="s">
        <v>222</v>
      </c>
      <c r="D78" s="4" t="s">
        <v>522</v>
      </c>
      <c r="E78" s="14" t="s">
        <v>522</v>
      </c>
      <c r="F78" s="14" t="s">
        <v>523</v>
      </c>
      <c r="G78" s="14" t="s">
        <v>521</v>
      </c>
      <c r="H78" s="9" t="s">
        <v>2645</v>
      </c>
      <c r="I78" s="3">
        <v>0</v>
      </c>
      <c r="J78" s="3">
        <v>365742.07228948857</v>
      </c>
      <c r="K78" s="3">
        <f t="shared" si="4"/>
        <v>365742.07228948857</v>
      </c>
      <c r="L78" s="3">
        <f>IFERROR(INDEX('CHIRP Payment Calc'!K:K,MATCH(A:A,'CHIRP Payment Calc'!A:A,0)),0)</f>
        <v>890729.237041043</v>
      </c>
      <c r="M78" s="3">
        <f t="shared" si="5"/>
        <v>-524987.16475155437</v>
      </c>
    </row>
    <row r="79" spans="1:13">
      <c r="A79" s="9" t="s">
        <v>2173</v>
      </c>
      <c r="B79" s="9" t="s">
        <v>223</v>
      </c>
      <c r="C79" s="9" t="s">
        <v>222</v>
      </c>
      <c r="D79" s="4" t="s">
        <v>2172</v>
      </c>
      <c r="E79" s="14" t="s">
        <v>2172</v>
      </c>
      <c r="F79" s="14" t="e">
        <v>#N/A</v>
      </c>
      <c r="G79" s="14" t="s">
        <v>2173</v>
      </c>
      <c r="H79" s="9" t="s">
        <v>2174</v>
      </c>
      <c r="I79" s="3">
        <v>0</v>
      </c>
      <c r="J79" s="3">
        <v>0</v>
      </c>
      <c r="K79" s="3">
        <f t="shared" si="4"/>
        <v>0</v>
      </c>
      <c r="L79" s="3">
        <f>IFERROR(INDEX('CHIRP Payment Calc'!K:K,MATCH(A:A,'CHIRP Payment Calc'!A:A,0)),0)</f>
        <v>0</v>
      </c>
      <c r="M79" s="3">
        <f t="shared" si="5"/>
        <v>0</v>
      </c>
    </row>
    <row r="80" spans="1:13">
      <c r="A80" s="9" t="s">
        <v>189</v>
      </c>
      <c r="B80" s="9" t="s">
        <v>223</v>
      </c>
      <c r="C80" s="9" t="s">
        <v>222</v>
      </c>
      <c r="D80" s="4" t="s">
        <v>190</v>
      </c>
      <c r="E80" s="14" t="s">
        <v>190</v>
      </c>
      <c r="F80" s="14" t="s">
        <v>191</v>
      </c>
      <c r="G80" s="14" t="s">
        <v>189</v>
      </c>
      <c r="H80" s="9" t="s">
        <v>2644</v>
      </c>
      <c r="I80" s="3">
        <v>0</v>
      </c>
      <c r="J80" s="3">
        <v>1364.0647354157666</v>
      </c>
      <c r="K80" s="3">
        <f t="shared" si="4"/>
        <v>1364.0647354157666</v>
      </c>
      <c r="L80" s="3">
        <f>IFERROR(INDEX('CHIRP Payment Calc'!K:K,MATCH(A:A,'CHIRP Payment Calc'!A:A,0)),0)</f>
        <v>0</v>
      </c>
      <c r="M80" s="3">
        <f t="shared" si="5"/>
        <v>1364.0647354157666</v>
      </c>
    </row>
    <row r="81" spans="1:13">
      <c r="A81" s="9" t="s">
        <v>219</v>
      </c>
      <c r="B81" s="9" t="s">
        <v>223</v>
      </c>
      <c r="C81" s="9" t="s">
        <v>222</v>
      </c>
      <c r="D81" s="4" t="s">
        <v>220</v>
      </c>
      <c r="E81" s="14" t="s">
        <v>220</v>
      </c>
      <c r="F81" s="14" t="s">
        <v>221</v>
      </c>
      <c r="G81" s="14" t="s">
        <v>219</v>
      </c>
      <c r="H81" s="9" t="s">
        <v>2643</v>
      </c>
      <c r="I81" s="3">
        <v>0</v>
      </c>
      <c r="J81" s="3">
        <v>0</v>
      </c>
      <c r="K81" s="3">
        <f t="shared" si="4"/>
        <v>0</v>
      </c>
      <c r="L81" s="3">
        <f>IFERROR(INDEX('CHIRP Payment Calc'!K:K,MATCH(A:A,'CHIRP Payment Calc'!A:A,0)),0)</f>
        <v>0</v>
      </c>
      <c r="M81" s="3">
        <f t="shared" si="5"/>
        <v>0</v>
      </c>
    </row>
    <row r="82" spans="1:13">
      <c r="A82" s="9" t="s">
        <v>2641</v>
      </c>
      <c r="B82" s="9" t="s">
        <v>223</v>
      </c>
      <c r="C82" s="9" t="s">
        <v>222</v>
      </c>
      <c r="D82" s="4" t="s">
        <v>2642</v>
      </c>
      <c r="E82" s="14" t="s">
        <v>2642</v>
      </c>
      <c r="F82" s="14" t="e">
        <v>#N/A</v>
      </c>
      <c r="G82" s="14" t="s">
        <v>2641</v>
      </c>
      <c r="H82" s="9" t="s">
        <v>2640</v>
      </c>
      <c r="I82" s="3">
        <v>0</v>
      </c>
      <c r="J82" s="3">
        <v>0</v>
      </c>
      <c r="K82" s="3">
        <f t="shared" si="4"/>
        <v>0</v>
      </c>
      <c r="L82" s="3">
        <f>IFERROR(INDEX('CHIRP Payment Calc'!K:K,MATCH(A:A,'CHIRP Payment Calc'!A:A,0)),0)</f>
        <v>0</v>
      </c>
      <c r="M82" s="3">
        <f t="shared" si="5"/>
        <v>0</v>
      </c>
    </row>
    <row r="83" spans="1:13">
      <c r="A83" s="9" t="s">
        <v>1554</v>
      </c>
      <c r="B83" s="9" t="s">
        <v>223</v>
      </c>
      <c r="C83" s="9" t="s">
        <v>222</v>
      </c>
      <c r="D83" s="4" t="s">
        <v>109</v>
      </c>
      <c r="E83" s="14" t="s">
        <v>109</v>
      </c>
      <c r="F83" s="14" t="s">
        <v>110</v>
      </c>
      <c r="G83" s="14" t="s">
        <v>1554</v>
      </c>
      <c r="H83" s="9" t="s">
        <v>2639</v>
      </c>
      <c r="I83" s="3">
        <v>37472172.865431286</v>
      </c>
      <c r="J83" s="3">
        <v>11511009.901441297</v>
      </c>
      <c r="K83" s="3">
        <f t="shared" si="4"/>
        <v>48983182.766872585</v>
      </c>
      <c r="L83" s="3">
        <f>IFERROR(INDEX('CHIRP Payment Calc'!K:K,MATCH(A:A,'CHIRP Payment Calc'!A:A,0)),0)</f>
        <v>52152301.974548087</v>
      </c>
      <c r="M83" s="3">
        <f t="shared" si="5"/>
        <v>-3169119.2076755017</v>
      </c>
    </row>
    <row r="84" spans="1:13">
      <c r="A84" s="9" t="s">
        <v>632</v>
      </c>
      <c r="B84" s="9" t="s">
        <v>223</v>
      </c>
      <c r="C84" s="9" t="s">
        <v>222</v>
      </c>
      <c r="D84" s="4" t="s">
        <v>633</v>
      </c>
      <c r="E84" s="14" t="s">
        <v>633</v>
      </c>
      <c r="F84" s="14" t="s">
        <v>634</v>
      </c>
      <c r="G84" s="14" t="s">
        <v>632</v>
      </c>
      <c r="H84" s="9" t="s">
        <v>2638</v>
      </c>
      <c r="I84" s="3">
        <v>5868425.2824665569</v>
      </c>
      <c r="J84" s="3">
        <v>4552352.1777542066</v>
      </c>
      <c r="K84" s="3">
        <f t="shared" si="4"/>
        <v>10420777.460220763</v>
      </c>
      <c r="L84" s="3">
        <f>IFERROR(INDEX('CHIRP Payment Calc'!K:K,MATCH(A:A,'CHIRP Payment Calc'!A:A,0)),0)</f>
        <v>12696345.422886135</v>
      </c>
      <c r="M84" s="3">
        <f t="shared" si="5"/>
        <v>-2275567.9626653716</v>
      </c>
    </row>
    <row r="85" spans="1:13">
      <c r="A85" s="9" t="s">
        <v>201</v>
      </c>
      <c r="B85" s="9" t="s">
        <v>223</v>
      </c>
      <c r="C85" s="9" t="s">
        <v>222</v>
      </c>
      <c r="D85" s="4" t="s">
        <v>202</v>
      </c>
      <c r="E85" s="14" t="s">
        <v>202</v>
      </c>
      <c r="F85" s="14" t="s">
        <v>203</v>
      </c>
      <c r="G85" s="14" t="s">
        <v>201</v>
      </c>
      <c r="H85" s="9" t="s">
        <v>2637</v>
      </c>
      <c r="I85" s="3">
        <v>0</v>
      </c>
      <c r="J85" s="3">
        <v>0</v>
      </c>
      <c r="K85" s="3">
        <f t="shared" si="4"/>
        <v>0</v>
      </c>
      <c r="L85" s="3">
        <f>IFERROR(INDEX('CHIRP Payment Calc'!K:K,MATCH(A:A,'CHIRP Payment Calc'!A:A,0)),0)</f>
        <v>0</v>
      </c>
      <c r="M85" s="3">
        <f t="shared" si="5"/>
        <v>0</v>
      </c>
    </row>
    <row r="86" spans="1:13">
      <c r="A86" s="9" t="s">
        <v>353</v>
      </c>
      <c r="B86" s="9" t="s">
        <v>223</v>
      </c>
      <c r="C86" s="9" t="s">
        <v>222</v>
      </c>
      <c r="D86" s="4" t="s">
        <v>354</v>
      </c>
      <c r="E86" s="14" t="s">
        <v>354</v>
      </c>
      <c r="F86" s="14" t="s">
        <v>355</v>
      </c>
      <c r="G86" s="14" t="s">
        <v>353</v>
      </c>
      <c r="H86" s="9" t="s">
        <v>2636</v>
      </c>
      <c r="I86" s="3">
        <v>322011.81808946142</v>
      </c>
      <c r="J86" s="3">
        <v>180701.35337862291</v>
      </c>
      <c r="K86" s="3">
        <f t="shared" si="4"/>
        <v>502713.17146808433</v>
      </c>
      <c r="L86" s="3">
        <f>IFERROR(INDEX('CHIRP Payment Calc'!K:K,MATCH(A:A,'CHIRP Payment Calc'!A:A,0)),0)</f>
        <v>485964.55940999906</v>
      </c>
      <c r="M86" s="3">
        <f t="shared" si="5"/>
        <v>16748.612058085273</v>
      </c>
    </row>
    <row r="87" spans="1:13">
      <c r="A87" s="9" t="s">
        <v>1446</v>
      </c>
      <c r="B87" s="9" t="s">
        <v>223</v>
      </c>
      <c r="C87" s="9" t="s">
        <v>222</v>
      </c>
      <c r="D87" s="4" t="s">
        <v>1447</v>
      </c>
      <c r="E87" s="14" t="s">
        <v>1447</v>
      </c>
      <c r="F87" s="14" t="s">
        <v>1448</v>
      </c>
      <c r="G87" s="14" t="s">
        <v>1446</v>
      </c>
      <c r="H87" s="9" t="s">
        <v>1937</v>
      </c>
      <c r="I87" s="3">
        <v>0</v>
      </c>
      <c r="J87" s="3">
        <v>27608.428096257499</v>
      </c>
      <c r="K87" s="3">
        <f t="shared" si="4"/>
        <v>27608.428096257499</v>
      </c>
      <c r="L87" s="3">
        <f>IFERROR(INDEX('CHIRP Payment Calc'!K:K,MATCH(A:A,'CHIRP Payment Calc'!A:A,0)),0)</f>
        <v>60747.308633349239</v>
      </c>
      <c r="M87" s="3">
        <f t="shared" si="5"/>
        <v>-33138.88053709174</v>
      </c>
    </row>
    <row r="88" spans="1:13">
      <c r="A88" s="9" t="s">
        <v>478</v>
      </c>
      <c r="B88" s="9" t="s">
        <v>223</v>
      </c>
      <c r="C88" s="9" t="s">
        <v>222</v>
      </c>
      <c r="D88" s="4" t="s">
        <v>479</v>
      </c>
      <c r="E88" s="14" t="s">
        <v>479</v>
      </c>
      <c r="F88" s="14" t="s">
        <v>480</v>
      </c>
      <c r="G88" s="14" t="s">
        <v>478</v>
      </c>
      <c r="H88" s="9" t="s">
        <v>2635</v>
      </c>
      <c r="I88" s="3">
        <v>5826267.5165926637</v>
      </c>
      <c r="J88" s="3">
        <v>961866.38697692135</v>
      </c>
      <c r="K88" s="3">
        <f t="shared" si="4"/>
        <v>6788133.9035695847</v>
      </c>
      <c r="L88" s="3">
        <f>IFERROR(INDEX('CHIRP Payment Calc'!K:K,MATCH(A:A,'CHIRP Payment Calc'!A:A,0)),0)</f>
        <v>5988622.8487485489</v>
      </c>
      <c r="M88" s="3">
        <f t="shared" si="5"/>
        <v>799511.05482103582</v>
      </c>
    </row>
    <row r="89" spans="1:13">
      <c r="A89" s="9" t="s">
        <v>980</v>
      </c>
      <c r="B89" s="9" t="s">
        <v>223</v>
      </c>
      <c r="C89" s="9" t="s">
        <v>222</v>
      </c>
      <c r="D89" s="4" t="s">
        <v>981</v>
      </c>
      <c r="E89" s="14" t="s">
        <v>981</v>
      </c>
      <c r="F89" s="14" t="s">
        <v>982</v>
      </c>
      <c r="G89" s="14" t="s">
        <v>980</v>
      </c>
      <c r="H89" s="9" t="s">
        <v>2634</v>
      </c>
      <c r="I89" s="3">
        <v>2931096.5513374764</v>
      </c>
      <c r="J89" s="3">
        <v>1609256.5883542164</v>
      </c>
      <c r="K89" s="3">
        <f t="shared" si="4"/>
        <v>4540353.1396916928</v>
      </c>
      <c r="L89" s="3">
        <f>IFERROR(INDEX('CHIRP Payment Calc'!K:K,MATCH(A:A,'CHIRP Payment Calc'!A:A,0)),0)</f>
        <v>6326528.7694831006</v>
      </c>
      <c r="M89" s="3">
        <f t="shared" si="5"/>
        <v>-1786175.6297914078</v>
      </c>
    </row>
    <row r="90" spans="1:13">
      <c r="A90" s="9" t="s">
        <v>37</v>
      </c>
      <c r="B90" s="9" t="s">
        <v>223</v>
      </c>
      <c r="C90" s="9" t="s">
        <v>222</v>
      </c>
      <c r="D90" s="4" t="s">
        <v>38</v>
      </c>
      <c r="E90" s="14" t="s">
        <v>38</v>
      </c>
      <c r="F90" s="14" t="s">
        <v>39</v>
      </c>
      <c r="G90" s="14" t="s">
        <v>1551</v>
      </c>
      <c r="H90" s="9" t="s">
        <v>2633</v>
      </c>
      <c r="I90" s="3">
        <v>469016.08195217955</v>
      </c>
      <c r="J90" s="3">
        <v>213323.41713601173</v>
      </c>
      <c r="K90" s="3">
        <f t="shared" si="4"/>
        <v>682339.49908819131</v>
      </c>
      <c r="L90" s="3">
        <f>IFERROR(INDEX('CHIRP Payment Calc'!K:K,MATCH(A:A,'CHIRP Payment Calc'!A:A,0)),0)</f>
        <v>654901.09565701755</v>
      </c>
      <c r="M90" s="3">
        <f t="shared" si="5"/>
        <v>27438.403431173763</v>
      </c>
    </row>
    <row r="91" spans="1:13">
      <c r="A91" s="9" t="s">
        <v>213</v>
      </c>
      <c r="B91" s="9" t="s">
        <v>223</v>
      </c>
      <c r="C91" s="9" t="s">
        <v>222</v>
      </c>
      <c r="D91" s="4" t="s">
        <v>214</v>
      </c>
      <c r="E91" s="14" t="s">
        <v>214</v>
      </c>
      <c r="F91" s="14" t="s">
        <v>215</v>
      </c>
      <c r="G91" s="14" t="s">
        <v>213</v>
      </c>
      <c r="H91" s="9" t="s">
        <v>2632</v>
      </c>
      <c r="I91" s="3">
        <v>0</v>
      </c>
      <c r="J91" s="3">
        <v>0</v>
      </c>
      <c r="K91" s="3">
        <f t="shared" si="4"/>
        <v>0</v>
      </c>
      <c r="L91" s="3">
        <f>IFERROR(INDEX('CHIRP Payment Calc'!K:K,MATCH(A:A,'CHIRP Payment Calc'!A:A,0)),0)</f>
        <v>0</v>
      </c>
      <c r="M91" s="3">
        <f t="shared" si="5"/>
        <v>0</v>
      </c>
    </row>
    <row r="92" spans="1:13">
      <c r="A92" s="9" t="s">
        <v>255</v>
      </c>
      <c r="B92" s="9" t="s">
        <v>223</v>
      </c>
      <c r="C92" s="9" t="s">
        <v>222</v>
      </c>
      <c r="D92" s="4" t="s">
        <v>256</v>
      </c>
      <c r="E92" s="14" t="s">
        <v>256</v>
      </c>
      <c r="F92" s="14" t="s">
        <v>257</v>
      </c>
      <c r="G92" s="14" t="s">
        <v>255</v>
      </c>
      <c r="H92" s="9" t="s">
        <v>2631</v>
      </c>
      <c r="I92" s="3">
        <v>0</v>
      </c>
      <c r="J92" s="3">
        <v>0</v>
      </c>
      <c r="K92" s="3">
        <f t="shared" si="4"/>
        <v>0</v>
      </c>
      <c r="L92" s="3">
        <f>IFERROR(INDEX('CHIRP Payment Calc'!K:K,MATCH(A:A,'CHIRP Payment Calc'!A:A,0)),0)</f>
        <v>0</v>
      </c>
      <c r="M92" s="3">
        <f t="shared" si="5"/>
        <v>0</v>
      </c>
    </row>
    <row r="93" spans="1:13">
      <c r="A93" s="9" t="s">
        <v>228</v>
      </c>
      <c r="B93" s="9" t="s">
        <v>223</v>
      </c>
      <c r="C93" s="9" t="s">
        <v>222</v>
      </c>
      <c r="D93" s="4" t="s">
        <v>229</v>
      </c>
      <c r="E93" s="14" t="s">
        <v>229</v>
      </c>
      <c r="F93" s="14" t="s">
        <v>230</v>
      </c>
      <c r="G93" s="14" t="s">
        <v>228</v>
      </c>
      <c r="H93" s="9" t="s">
        <v>2630</v>
      </c>
      <c r="I93" s="3">
        <v>145655.18125861691</v>
      </c>
      <c r="J93" s="3">
        <v>286867.71682931826</v>
      </c>
      <c r="K93" s="3">
        <f t="shared" si="4"/>
        <v>432522.89808793517</v>
      </c>
      <c r="L93" s="3">
        <f>IFERROR(INDEX('CHIRP Payment Calc'!K:K,MATCH(A:A,'CHIRP Payment Calc'!A:A,0)),0)</f>
        <v>804097.97657179972</v>
      </c>
      <c r="M93" s="3">
        <f t="shared" si="5"/>
        <v>-371575.07848386455</v>
      </c>
    </row>
    <row r="94" spans="1:13">
      <c r="A94" s="9" t="s">
        <v>680</v>
      </c>
      <c r="B94" s="9" t="s">
        <v>223</v>
      </c>
      <c r="C94" s="9" t="s">
        <v>222</v>
      </c>
      <c r="D94" s="4" t="s">
        <v>681</v>
      </c>
      <c r="E94" s="14" t="s">
        <v>681</v>
      </c>
      <c r="F94" s="14" t="s">
        <v>682</v>
      </c>
      <c r="G94" s="14" t="s">
        <v>680</v>
      </c>
      <c r="H94" s="9" t="s">
        <v>2629</v>
      </c>
      <c r="I94" s="3">
        <v>344362.35197318497</v>
      </c>
      <c r="J94" s="3">
        <v>1205917.1757440239</v>
      </c>
      <c r="K94" s="3">
        <f t="shared" si="4"/>
        <v>1550279.527717209</v>
      </c>
      <c r="L94" s="3">
        <f>IFERROR(INDEX('CHIRP Payment Calc'!K:K,MATCH(A:A,'CHIRP Payment Calc'!A:A,0)),0)</f>
        <v>1952100.0404479587</v>
      </c>
      <c r="M94" s="3">
        <f t="shared" si="5"/>
        <v>-401820.51273074979</v>
      </c>
    </row>
    <row r="95" spans="1:13">
      <c r="A95" s="9" t="s">
        <v>2627</v>
      </c>
      <c r="B95" s="9" t="s">
        <v>223</v>
      </c>
      <c r="C95" s="9" t="s">
        <v>222</v>
      </c>
      <c r="D95" s="4" t="s">
        <v>2628</v>
      </c>
      <c r="E95" s="14" t="s">
        <v>2628</v>
      </c>
      <c r="F95" s="14" t="e">
        <v>#N/A</v>
      </c>
      <c r="G95" s="14" t="s">
        <v>2627</v>
      </c>
      <c r="H95" s="9" t="s">
        <v>2626</v>
      </c>
      <c r="I95" s="3">
        <v>0</v>
      </c>
      <c r="J95" s="3">
        <v>0</v>
      </c>
      <c r="K95" s="3">
        <f t="shared" si="4"/>
        <v>0</v>
      </c>
      <c r="L95" s="3">
        <f>IFERROR(INDEX('CHIRP Payment Calc'!K:K,MATCH(A:A,'CHIRP Payment Calc'!A:A,0)),0)</f>
        <v>0</v>
      </c>
      <c r="M95" s="3">
        <f t="shared" si="5"/>
        <v>0</v>
      </c>
    </row>
    <row r="96" spans="1:13">
      <c r="A96" s="9" t="s">
        <v>629</v>
      </c>
      <c r="B96" s="9" t="s">
        <v>223</v>
      </c>
      <c r="C96" s="9" t="s">
        <v>222</v>
      </c>
      <c r="D96" s="4" t="s">
        <v>630</v>
      </c>
      <c r="E96" s="14" t="s">
        <v>630</v>
      </c>
      <c r="F96" s="14" t="s">
        <v>631</v>
      </c>
      <c r="G96" s="14" t="s">
        <v>629</v>
      </c>
      <c r="H96" s="9" t="s">
        <v>2625</v>
      </c>
      <c r="I96" s="3">
        <v>3107963.5534602664</v>
      </c>
      <c r="J96" s="3">
        <v>355517.4352977979</v>
      </c>
      <c r="K96" s="3">
        <f t="shared" si="4"/>
        <v>3463480.9887580643</v>
      </c>
      <c r="L96" s="3">
        <f>IFERROR(INDEX('CHIRP Payment Calc'!K:K,MATCH(A:A,'CHIRP Payment Calc'!A:A,0)),0)</f>
        <v>4371694.2974040136</v>
      </c>
      <c r="M96" s="3">
        <f t="shared" si="5"/>
        <v>-908213.30864594923</v>
      </c>
    </row>
    <row r="97" spans="1:13">
      <c r="A97" s="9" t="s">
        <v>146</v>
      </c>
      <c r="B97" s="9" t="s">
        <v>223</v>
      </c>
      <c r="C97" s="9" t="s">
        <v>222</v>
      </c>
      <c r="D97" s="4" t="s">
        <v>147</v>
      </c>
      <c r="E97" s="14" t="s">
        <v>147</v>
      </c>
      <c r="F97" s="14" t="s">
        <v>148</v>
      </c>
      <c r="G97" s="14" t="s">
        <v>146</v>
      </c>
      <c r="H97" s="9" t="s">
        <v>2624</v>
      </c>
      <c r="I97" s="3">
        <v>0</v>
      </c>
      <c r="J97" s="3">
        <v>18425.581464434323</v>
      </c>
      <c r="K97" s="3">
        <f t="shared" si="4"/>
        <v>18425.581464434323</v>
      </c>
      <c r="L97" s="3">
        <f>IFERROR(INDEX('CHIRP Payment Calc'!K:K,MATCH(A:A,'CHIRP Payment Calc'!A:A,0)),0)</f>
        <v>0</v>
      </c>
      <c r="M97" s="3">
        <f t="shared" si="5"/>
        <v>18425.581464434323</v>
      </c>
    </row>
    <row r="98" spans="1:13">
      <c r="A98" s="9" t="s">
        <v>1506</v>
      </c>
      <c r="B98" s="9" t="s">
        <v>223</v>
      </c>
      <c r="C98" s="9" t="s">
        <v>222</v>
      </c>
      <c r="D98" s="4" t="s">
        <v>1507</v>
      </c>
      <c r="E98" s="14" t="s">
        <v>1507</v>
      </c>
      <c r="F98" s="14" t="s">
        <v>1508</v>
      </c>
      <c r="G98" s="14" t="s">
        <v>1506</v>
      </c>
      <c r="H98" s="9" t="s">
        <v>2623</v>
      </c>
      <c r="I98" s="3">
        <v>0</v>
      </c>
      <c r="J98" s="3">
        <v>0</v>
      </c>
      <c r="K98" s="3">
        <f t="shared" si="4"/>
        <v>0</v>
      </c>
      <c r="L98" s="3">
        <f>IFERROR(INDEX('CHIRP Payment Calc'!K:K,MATCH(A:A,'CHIRP Payment Calc'!A:A,0)),0)</f>
        <v>0</v>
      </c>
      <c r="M98" s="3">
        <f t="shared" si="5"/>
        <v>0</v>
      </c>
    </row>
    <row r="99" spans="1:13">
      <c r="A99" s="9" t="s">
        <v>270</v>
      </c>
      <c r="B99" s="9" t="s">
        <v>223</v>
      </c>
      <c r="C99" s="9" t="s">
        <v>222</v>
      </c>
      <c r="D99" s="4" t="s">
        <v>271</v>
      </c>
      <c r="E99" s="14" t="s">
        <v>271</v>
      </c>
      <c r="F99" s="14" t="s">
        <v>272</v>
      </c>
      <c r="G99" s="14" t="s">
        <v>270</v>
      </c>
      <c r="H99" s="9" t="s">
        <v>2622</v>
      </c>
      <c r="I99" s="3">
        <v>55.605131350494986</v>
      </c>
      <c r="J99" s="3">
        <v>432.76721470089177</v>
      </c>
      <c r="K99" s="3">
        <f t="shared" si="4"/>
        <v>488.37234605138678</v>
      </c>
      <c r="L99" s="3">
        <f>IFERROR(INDEX('CHIRP Payment Calc'!K:K,MATCH(A:A,'CHIRP Payment Calc'!A:A,0)),0)</f>
        <v>0</v>
      </c>
      <c r="M99" s="3">
        <f t="shared" si="5"/>
        <v>488.37234605138678</v>
      </c>
    </row>
    <row r="100" spans="1:13">
      <c r="A100" s="9" t="s">
        <v>2153</v>
      </c>
      <c r="B100" s="9" t="s">
        <v>223</v>
      </c>
      <c r="C100" s="9" t="s">
        <v>222</v>
      </c>
      <c r="D100" s="4" t="s">
        <v>2152</v>
      </c>
      <c r="E100" s="14" t="s">
        <v>2152</v>
      </c>
      <c r="F100" s="14" t="e">
        <v>#N/A</v>
      </c>
      <c r="G100" s="14" t="s">
        <v>2153</v>
      </c>
      <c r="H100" s="9" t="s">
        <v>2621</v>
      </c>
      <c r="I100" s="3">
        <v>0</v>
      </c>
      <c r="J100" s="3">
        <v>0</v>
      </c>
      <c r="K100" s="3">
        <f t="shared" si="4"/>
        <v>0</v>
      </c>
      <c r="L100" s="3">
        <f>IFERROR(INDEX('CHIRP Payment Calc'!K:K,MATCH(A:A,'CHIRP Payment Calc'!A:A,0)),0)</f>
        <v>0</v>
      </c>
      <c r="M100" s="3">
        <f t="shared" si="5"/>
        <v>0</v>
      </c>
    </row>
    <row r="101" spans="1:13">
      <c r="A101" s="9" t="s">
        <v>431</v>
      </c>
      <c r="B101" s="9" t="s">
        <v>223</v>
      </c>
      <c r="C101" s="9" t="s">
        <v>222</v>
      </c>
      <c r="D101" s="4" t="s">
        <v>432</v>
      </c>
      <c r="E101" s="14" t="s">
        <v>432</v>
      </c>
      <c r="F101" s="14" t="s">
        <v>433</v>
      </c>
      <c r="G101" s="14" t="s">
        <v>431</v>
      </c>
      <c r="H101" s="9" t="s">
        <v>2620</v>
      </c>
      <c r="I101" s="3">
        <v>0</v>
      </c>
      <c r="J101" s="3">
        <v>194220.92818547576</v>
      </c>
      <c r="K101" s="3">
        <f t="shared" si="4"/>
        <v>194220.92818547576</v>
      </c>
      <c r="L101" s="3">
        <f>IFERROR(INDEX('CHIRP Payment Calc'!K:K,MATCH(A:A,'CHIRP Payment Calc'!A:A,0)),0)</f>
        <v>344331.28950236668</v>
      </c>
      <c r="M101" s="3">
        <f t="shared" si="5"/>
        <v>-150110.36131689092</v>
      </c>
    </row>
    <row r="102" spans="1:13">
      <c r="A102" s="9" t="s">
        <v>1439</v>
      </c>
      <c r="B102" s="9" t="s">
        <v>223</v>
      </c>
      <c r="C102" s="9" t="s">
        <v>222</v>
      </c>
      <c r="D102" s="4" t="s">
        <v>1440</v>
      </c>
      <c r="E102" s="14" t="s">
        <v>1440</v>
      </c>
      <c r="F102" s="14" t="s">
        <v>1441</v>
      </c>
      <c r="G102" s="14" t="s">
        <v>1439</v>
      </c>
      <c r="H102" s="9" t="s">
        <v>2619</v>
      </c>
      <c r="I102" s="3">
        <v>0</v>
      </c>
      <c r="J102" s="3">
        <v>197844.9825286117</v>
      </c>
      <c r="K102" s="3">
        <f t="shared" si="4"/>
        <v>197844.9825286117</v>
      </c>
      <c r="L102" s="3">
        <f>IFERROR(INDEX('CHIRP Payment Calc'!K:K,MATCH(A:A,'CHIRP Payment Calc'!A:A,0)),0)</f>
        <v>682548.80837777082</v>
      </c>
      <c r="M102" s="3">
        <f t="shared" si="5"/>
        <v>-484703.82584915916</v>
      </c>
    </row>
    <row r="103" spans="1:13">
      <c r="A103" s="9" t="s">
        <v>31</v>
      </c>
      <c r="B103" s="9" t="s">
        <v>223</v>
      </c>
      <c r="C103" s="9" t="s">
        <v>222</v>
      </c>
      <c r="D103" s="4" t="s">
        <v>32</v>
      </c>
      <c r="E103" s="14" t="s">
        <v>32</v>
      </c>
      <c r="F103" s="14" t="s">
        <v>33</v>
      </c>
      <c r="G103" s="14" t="s">
        <v>31</v>
      </c>
      <c r="H103" s="9" t="s">
        <v>2618</v>
      </c>
      <c r="I103" s="3">
        <v>2211233.8721354138</v>
      </c>
      <c r="J103" s="3">
        <v>1034351.9866366993</v>
      </c>
      <c r="K103" s="3">
        <f t="shared" si="4"/>
        <v>3245585.858772113</v>
      </c>
      <c r="L103" s="3">
        <f>IFERROR(INDEX('CHIRP Payment Calc'!K:K,MATCH(A:A,'CHIRP Payment Calc'!A:A,0)),0)</f>
        <v>5459248.22344945</v>
      </c>
      <c r="M103" s="3">
        <f t="shared" si="5"/>
        <v>-2213662.364677337</v>
      </c>
    </row>
    <row r="104" spans="1:13">
      <c r="A104" s="9" t="s">
        <v>911</v>
      </c>
      <c r="B104" s="9" t="s">
        <v>223</v>
      </c>
      <c r="C104" s="9" t="s">
        <v>1481</v>
      </c>
      <c r="D104" s="4" t="s">
        <v>912</v>
      </c>
      <c r="E104" s="14" t="s">
        <v>912</v>
      </c>
      <c r="F104" s="14" t="s">
        <v>913</v>
      </c>
      <c r="G104" s="14" t="s">
        <v>911</v>
      </c>
      <c r="H104" s="9" t="s">
        <v>1820</v>
      </c>
      <c r="I104" s="3">
        <v>2632213.6818712936</v>
      </c>
      <c r="J104" s="3">
        <v>1512032.6010143871</v>
      </c>
      <c r="K104" s="3">
        <f t="shared" si="4"/>
        <v>4144246.2828856809</v>
      </c>
      <c r="L104" s="3">
        <f>IFERROR(INDEX('CHIRP Payment Calc'!K:K,MATCH(A:A,'CHIRP Payment Calc'!A:A,0)),0)</f>
        <v>5695129.1940394118</v>
      </c>
      <c r="M104" s="3">
        <f t="shared" si="5"/>
        <v>-1550882.9111537309</v>
      </c>
    </row>
    <row r="105" spans="1:13">
      <c r="A105" s="9" t="s">
        <v>465</v>
      </c>
      <c r="B105" s="9" t="s">
        <v>223</v>
      </c>
      <c r="C105" s="9" t="s">
        <v>1608</v>
      </c>
      <c r="D105" s="4" t="s">
        <v>466</v>
      </c>
      <c r="E105" s="14" t="s">
        <v>466</v>
      </c>
      <c r="F105" s="14" t="s">
        <v>467</v>
      </c>
      <c r="G105" s="14" t="s">
        <v>465</v>
      </c>
      <c r="H105" s="9" t="s">
        <v>467</v>
      </c>
      <c r="I105" s="3">
        <v>3495030.4468916585</v>
      </c>
      <c r="J105" s="3">
        <v>1755166.2832173081</v>
      </c>
      <c r="K105" s="3">
        <f t="shared" si="4"/>
        <v>5250196.7301089671</v>
      </c>
      <c r="L105" s="3">
        <f>IFERROR(INDEX('CHIRP Payment Calc'!K:K,MATCH(A:A,'CHIRP Payment Calc'!A:A,0)),0)</f>
        <v>31100659.711110152</v>
      </c>
      <c r="M105" s="3">
        <f t="shared" si="5"/>
        <v>-25850462.981001183</v>
      </c>
    </row>
    <row r="106" spans="1:13">
      <c r="A106" s="9" t="s">
        <v>1570</v>
      </c>
      <c r="B106" s="9" t="s">
        <v>223</v>
      </c>
      <c r="C106" s="9" t="s">
        <v>1608</v>
      </c>
      <c r="D106" s="4" t="s">
        <v>1610</v>
      </c>
      <c r="E106" s="14" t="s">
        <v>1610</v>
      </c>
      <c r="F106" s="14" t="s">
        <v>1352</v>
      </c>
      <c r="G106" s="14" t="s">
        <v>1570</v>
      </c>
      <c r="H106" s="9" t="s">
        <v>2617</v>
      </c>
      <c r="I106" s="3">
        <v>82791.59854816203</v>
      </c>
      <c r="J106" s="3">
        <v>674913.05874921731</v>
      </c>
      <c r="K106" s="3">
        <f t="shared" si="4"/>
        <v>757704.65729737934</v>
      </c>
      <c r="L106" s="3">
        <f>IFERROR(INDEX('CHIRP Payment Calc'!K:K,MATCH(A:A,'CHIRP Payment Calc'!A:A,0)),0)</f>
        <v>0</v>
      </c>
      <c r="M106" s="3">
        <f t="shared" si="5"/>
        <v>757704.65729737934</v>
      </c>
    </row>
    <row r="107" spans="1:13">
      <c r="A107" s="9" t="s">
        <v>1563</v>
      </c>
      <c r="B107" s="9" t="s">
        <v>223</v>
      </c>
      <c r="C107" s="9" t="s">
        <v>1559</v>
      </c>
      <c r="D107" s="4" t="s">
        <v>1794</v>
      </c>
      <c r="E107" s="14" t="s">
        <v>1794</v>
      </c>
      <c r="F107" s="14" t="s">
        <v>1040</v>
      </c>
      <c r="G107" s="14" t="s">
        <v>1563</v>
      </c>
      <c r="H107" s="9" t="s">
        <v>1792</v>
      </c>
      <c r="I107" s="3">
        <v>58350219.394096695</v>
      </c>
      <c r="J107" s="3">
        <v>48544246.672889248</v>
      </c>
      <c r="K107" s="3">
        <f t="shared" si="4"/>
        <v>106894466.06698593</v>
      </c>
      <c r="L107" s="3">
        <f>IFERROR(INDEX('CHIRP Payment Calc'!K:K,MATCH(A:A,'CHIRP Payment Calc'!A:A,0)),0)</f>
        <v>95760199.758748442</v>
      </c>
      <c r="M107" s="3">
        <f t="shared" si="5"/>
        <v>11134266.308237493</v>
      </c>
    </row>
    <row r="108" spans="1:13">
      <c r="A108" s="9" t="s">
        <v>126</v>
      </c>
      <c r="B108" s="9" t="s">
        <v>1189</v>
      </c>
      <c r="C108" s="9" t="s">
        <v>1644</v>
      </c>
      <c r="D108" s="4" t="s">
        <v>127</v>
      </c>
      <c r="E108" s="14" t="s">
        <v>127</v>
      </c>
      <c r="F108" s="14" t="s">
        <v>128</v>
      </c>
      <c r="G108" s="14" t="s">
        <v>126</v>
      </c>
      <c r="H108" s="9" t="s">
        <v>2616</v>
      </c>
      <c r="I108" s="3">
        <v>25547874.760549922</v>
      </c>
      <c r="J108" s="3">
        <v>184198.23084407992</v>
      </c>
      <c r="K108" s="3">
        <f t="shared" si="4"/>
        <v>25732072.991394002</v>
      </c>
      <c r="L108" s="3">
        <f>IFERROR(INDEX('CHIRP Payment Calc'!K:K,MATCH(A:A,'CHIRP Payment Calc'!A:A,0)),0)</f>
        <v>31235184.980113037</v>
      </c>
      <c r="M108" s="3">
        <f t="shared" si="5"/>
        <v>-5503111.9887190349</v>
      </c>
    </row>
    <row r="109" spans="1:13">
      <c r="A109" s="9" t="e">
        <v>#N/A</v>
      </c>
      <c r="B109" s="15" t="s">
        <v>1189</v>
      </c>
      <c r="C109" s="15" t="s">
        <v>2236</v>
      </c>
      <c r="D109" s="4" t="s">
        <v>2615</v>
      </c>
      <c r="E109" s="14" t="e">
        <v>#N/A</v>
      </c>
      <c r="F109" s="14" t="e">
        <v>#N/A</v>
      </c>
      <c r="G109" s="14" t="e">
        <v>#N/A</v>
      </c>
      <c r="H109" s="9" t="s">
        <v>2614</v>
      </c>
      <c r="I109" s="3">
        <v>225.40894833942929</v>
      </c>
      <c r="J109" s="3">
        <v>0</v>
      </c>
      <c r="K109" s="3">
        <f t="shared" si="4"/>
        <v>225.40894833942929</v>
      </c>
      <c r="L109" s="3">
        <f>IFERROR(INDEX('CHIRP Payment Calc'!K:K,MATCH(A:A,'CHIRP Payment Calc'!A:A,0)),0)</f>
        <v>0</v>
      </c>
      <c r="M109" s="3">
        <f t="shared" si="5"/>
        <v>225.40894833942929</v>
      </c>
    </row>
    <row r="110" spans="1:13">
      <c r="A110" s="9" t="s">
        <v>2800</v>
      </c>
      <c r="B110" s="9" t="s">
        <v>1189</v>
      </c>
      <c r="C110" s="9" t="s">
        <v>2236</v>
      </c>
      <c r="D110" s="4" t="s">
        <v>1499</v>
      </c>
      <c r="E110" s="14" t="e">
        <v>#N/A</v>
      </c>
      <c r="F110" s="14" t="e">
        <v>#N/A</v>
      </c>
      <c r="G110" s="14" t="e">
        <v>#N/A</v>
      </c>
      <c r="H110" s="9" t="s">
        <v>2613</v>
      </c>
      <c r="I110" s="3">
        <v>0</v>
      </c>
      <c r="J110" s="3">
        <v>0</v>
      </c>
      <c r="K110" s="3">
        <f t="shared" si="4"/>
        <v>0</v>
      </c>
      <c r="L110" s="3">
        <f>IFERROR(INDEX('CHIRP Payment Calc'!K:K,MATCH(A:A,'CHIRP Payment Calc'!A:A,0)),0)</f>
        <v>0</v>
      </c>
      <c r="M110" s="3">
        <f t="shared" si="5"/>
        <v>0</v>
      </c>
    </row>
    <row r="111" spans="1:13">
      <c r="A111" s="9" t="s">
        <v>1349</v>
      </c>
      <c r="B111" s="9" t="s">
        <v>1189</v>
      </c>
      <c r="C111" s="9" t="s">
        <v>2236</v>
      </c>
      <c r="D111" s="4" t="s">
        <v>1350</v>
      </c>
      <c r="E111" s="14" t="s">
        <v>1350</v>
      </c>
      <c r="F111" s="14" t="s">
        <v>1351</v>
      </c>
      <c r="G111" s="14" t="s">
        <v>1349</v>
      </c>
      <c r="H111" s="9" t="s">
        <v>2612</v>
      </c>
      <c r="I111" s="3">
        <v>4359600.4376396267</v>
      </c>
      <c r="J111" s="3">
        <v>0</v>
      </c>
      <c r="K111" s="3">
        <f t="shared" si="4"/>
        <v>4359600.4376396267</v>
      </c>
      <c r="L111" s="3">
        <f>IFERROR(INDEX('CHIRP Payment Calc'!K:K,MATCH(A:A,'CHIRP Payment Calc'!A:A,0)),0)</f>
        <v>3937201.5824127966</v>
      </c>
      <c r="M111" s="3">
        <f t="shared" si="5"/>
        <v>422398.85522683011</v>
      </c>
    </row>
    <row r="112" spans="1:13">
      <c r="A112" s="9" t="s">
        <v>1186</v>
      </c>
      <c r="B112" s="9" t="s">
        <v>1189</v>
      </c>
      <c r="C112" s="9" t="s">
        <v>2236</v>
      </c>
      <c r="D112" s="4" t="s">
        <v>1187</v>
      </c>
      <c r="E112" s="14" t="s">
        <v>1187</v>
      </c>
      <c r="F112" s="14" t="s">
        <v>1188</v>
      </c>
      <c r="G112" s="14" t="s">
        <v>1186</v>
      </c>
      <c r="H112" s="9" t="s">
        <v>2611</v>
      </c>
      <c r="I112" s="3">
        <v>0</v>
      </c>
      <c r="J112" s="3">
        <v>0</v>
      </c>
      <c r="K112" s="3">
        <f t="shared" si="4"/>
        <v>0</v>
      </c>
      <c r="L112" s="3">
        <f>IFERROR(INDEX('CHIRP Payment Calc'!K:K,MATCH(A:A,'CHIRP Payment Calc'!A:A,0)),0)</f>
        <v>0</v>
      </c>
      <c r="M112" s="3">
        <f t="shared" si="5"/>
        <v>0</v>
      </c>
    </row>
    <row r="113" spans="1:13">
      <c r="A113" s="9" t="s">
        <v>165</v>
      </c>
      <c r="B113" s="9" t="s">
        <v>1189</v>
      </c>
      <c r="C113" s="9" t="s">
        <v>222</v>
      </c>
      <c r="D113" s="4" t="s">
        <v>166</v>
      </c>
      <c r="E113" s="14" t="s">
        <v>166</v>
      </c>
      <c r="F113" s="14" t="s">
        <v>167</v>
      </c>
      <c r="G113" s="14" t="s">
        <v>165</v>
      </c>
      <c r="H113" s="9" t="s">
        <v>2610</v>
      </c>
      <c r="I113" s="3">
        <v>2942681.5822862093</v>
      </c>
      <c r="J113" s="3">
        <v>761116.35487859161</v>
      </c>
      <c r="K113" s="3">
        <f t="shared" si="4"/>
        <v>3703797.9371648012</v>
      </c>
      <c r="L113" s="3">
        <f>IFERROR(INDEX('CHIRP Payment Calc'!K:K,MATCH(A:A,'CHIRP Payment Calc'!A:A,0)),0)</f>
        <v>2700296.178936203</v>
      </c>
      <c r="M113" s="3">
        <f t="shared" si="5"/>
        <v>1003501.7582285982</v>
      </c>
    </row>
    <row r="114" spans="1:13">
      <c r="A114" s="9" t="s">
        <v>368</v>
      </c>
      <c r="B114" s="9" t="s">
        <v>1189</v>
      </c>
      <c r="C114" s="9" t="s">
        <v>222</v>
      </c>
      <c r="D114" s="4" t="s">
        <v>369</v>
      </c>
      <c r="E114" s="14" t="s">
        <v>369</v>
      </c>
      <c r="F114" s="14" t="s">
        <v>370</v>
      </c>
      <c r="G114" s="14" t="s">
        <v>368</v>
      </c>
      <c r="H114" s="9" t="s">
        <v>2609</v>
      </c>
      <c r="I114" s="3">
        <v>0</v>
      </c>
      <c r="J114" s="3">
        <v>0</v>
      </c>
      <c r="K114" s="3">
        <f t="shared" si="4"/>
        <v>0</v>
      </c>
      <c r="L114" s="3">
        <f>IFERROR(INDEX('CHIRP Payment Calc'!K:K,MATCH(A:A,'CHIRP Payment Calc'!A:A,0)),0)</f>
        <v>0</v>
      </c>
      <c r="M114" s="3">
        <f t="shared" si="5"/>
        <v>0</v>
      </c>
    </row>
    <row r="115" spans="1:13">
      <c r="A115" s="9" t="s">
        <v>2607</v>
      </c>
      <c r="B115" s="9" t="s">
        <v>1189</v>
      </c>
      <c r="C115" s="9" t="s">
        <v>222</v>
      </c>
      <c r="D115" s="4" t="s">
        <v>2608</v>
      </c>
      <c r="E115" s="14" t="s">
        <v>2608</v>
      </c>
      <c r="F115" s="14" t="e">
        <v>#N/A</v>
      </c>
      <c r="G115" s="14" t="s">
        <v>2607</v>
      </c>
      <c r="H115" s="9" t="s">
        <v>2606</v>
      </c>
      <c r="I115" s="3">
        <v>0</v>
      </c>
      <c r="J115" s="3">
        <v>0</v>
      </c>
      <c r="K115" s="3">
        <f t="shared" si="4"/>
        <v>0</v>
      </c>
      <c r="L115" s="3">
        <f>IFERROR(INDEX('CHIRP Payment Calc'!K:K,MATCH(A:A,'CHIRP Payment Calc'!A:A,0)),0)</f>
        <v>0</v>
      </c>
      <c r="M115" s="3">
        <f t="shared" si="5"/>
        <v>0</v>
      </c>
    </row>
    <row r="116" spans="1:13">
      <c r="A116" s="9" t="s">
        <v>252</v>
      </c>
      <c r="B116" s="9" t="s">
        <v>1189</v>
      </c>
      <c r="C116" s="9" t="s">
        <v>222</v>
      </c>
      <c r="D116" s="4" t="s">
        <v>2605</v>
      </c>
      <c r="E116" s="14" t="s">
        <v>253</v>
      </c>
      <c r="F116" s="14" t="s">
        <v>254</v>
      </c>
      <c r="G116" s="14" t="s">
        <v>252</v>
      </c>
      <c r="H116" s="9" t="s">
        <v>2604</v>
      </c>
      <c r="I116" s="3">
        <v>0</v>
      </c>
      <c r="J116" s="3">
        <v>0</v>
      </c>
      <c r="K116" s="3">
        <f t="shared" si="4"/>
        <v>0</v>
      </c>
      <c r="L116" s="3">
        <f>IFERROR(INDEX('CHIRP Payment Calc'!K:K,MATCH(A:A,'CHIRP Payment Calc'!A:A,0)),0)</f>
        <v>0</v>
      </c>
      <c r="M116" s="3">
        <f t="shared" si="5"/>
        <v>0</v>
      </c>
    </row>
    <row r="117" spans="1:13">
      <c r="A117" s="9" t="s">
        <v>1565</v>
      </c>
      <c r="B117" s="9" t="s">
        <v>1189</v>
      </c>
      <c r="C117" s="9" t="s">
        <v>222</v>
      </c>
      <c r="D117" s="4" t="s">
        <v>1716</v>
      </c>
      <c r="E117" s="14" t="s">
        <v>1716</v>
      </c>
      <c r="F117" s="14" t="s">
        <v>1161</v>
      </c>
      <c r="G117" s="14" t="s">
        <v>1565</v>
      </c>
      <c r="H117" s="9" t="s">
        <v>2603</v>
      </c>
      <c r="I117" s="3">
        <v>974736.96794865187</v>
      </c>
      <c r="J117" s="3">
        <v>2035829.9296351357</v>
      </c>
      <c r="K117" s="3">
        <f t="shared" si="4"/>
        <v>3010566.8975837873</v>
      </c>
      <c r="L117" s="3">
        <f>IFERROR(INDEX('CHIRP Payment Calc'!K:K,MATCH(A:A,'CHIRP Payment Calc'!A:A,0)),0)</f>
        <v>2834047.4390646676</v>
      </c>
      <c r="M117" s="3">
        <f t="shared" si="5"/>
        <v>176519.45851911977</v>
      </c>
    </row>
    <row r="118" spans="1:13">
      <c r="A118" s="9" t="s">
        <v>1993</v>
      </c>
      <c r="B118" s="9" t="s">
        <v>1189</v>
      </c>
      <c r="C118" s="9" t="s">
        <v>222</v>
      </c>
      <c r="D118" s="4" t="s">
        <v>1994</v>
      </c>
      <c r="E118" s="14" t="s">
        <v>1994</v>
      </c>
      <c r="F118" s="14" t="e">
        <v>#N/A</v>
      </c>
      <c r="G118" s="14" t="s">
        <v>1993</v>
      </c>
      <c r="H118" s="9" t="s">
        <v>2602</v>
      </c>
      <c r="I118" s="3">
        <v>0</v>
      </c>
      <c r="J118" s="3">
        <v>0</v>
      </c>
      <c r="K118" s="3">
        <f t="shared" si="4"/>
        <v>0</v>
      </c>
      <c r="L118" s="3">
        <f>IFERROR(INDEX('CHIRP Payment Calc'!K:K,MATCH(A:A,'CHIRP Payment Calc'!A:A,0)),0)</f>
        <v>0</v>
      </c>
      <c r="M118" s="3">
        <f t="shared" si="5"/>
        <v>0</v>
      </c>
    </row>
    <row r="119" spans="1:13">
      <c r="A119" s="9" t="s">
        <v>1083</v>
      </c>
      <c r="B119" s="9" t="s">
        <v>1189</v>
      </c>
      <c r="C119" s="9" t="s">
        <v>222</v>
      </c>
      <c r="D119" s="4" t="s">
        <v>1084</v>
      </c>
      <c r="E119" s="14" t="s">
        <v>1084</v>
      </c>
      <c r="F119" s="14" t="s">
        <v>1085</v>
      </c>
      <c r="G119" s="14" t="s">
        <v>1083</v>
      </c>
      <c r="H119" s="9" t="s">
        <v>2601</v>
      </c>
      <c r="I119" s="3">
        <v>1363032.3372680123</v>
      </c>
      <c r="J119" s="3">
        <v>706135.75182183937</v>
      </c>
      <c r="K119" s="3">
        <f t="shared" si="4"/>
        <v>2069168.0890898518</v>
      </c>
      <c r="L119" s="3">
        <f>IFERROR(INDEX('CHIRP Payment Calc'!K:K,MATCH(A:A,'CHIRP Payment Calc'!A:A,0)),0)</f>
        <v>2624572.4423858151</v>
      </c>
      <c r="M119" s="3">
        <f t="shared" si="5"/>
        <v>-555404.35329596326</v>
      </c>
    </row>
    <row r="120" spans="1:13">
      <c r="A120" s="9" t="s">
        <v>117</v>
      </c>
      <c r="B120" s="9" t="s">
        <v>1189</v>
      </c>
      <c r="C120" s="9" t="s">
        <v>222</v>
      </c>
      <c r="D120" s="4" t="s">
        <v>118</v>
      </c>
      <c r="E120" s="14" t="s">
        <v>118</v>
      </c>
      <c r="F120" s="14" t="s">
        <v>119</v>
      </c>
      <c r="G120" s="14" t="s">
        <v>117</v>
      </c>
      <c r="H120" s="9" t="s">
        <v>2600</v>
      </c>
      <c r="I120" s="3">
        <v>168493.77016137808</v>
      </c>
      <c r="J120" s="3">
        <v>135963.37937621554</v>
      </c>
      <c r="K120" s="3">
        <f t="shared" si="4"/>
        <v>304457.14953759359</v>
      </c>
      <c r="L120" s="3">
        <f>IFERROR(INDEX('CHIRP Payment Calc'!K:K,MATCH(A:A,'CHIRP Payment Calc'!A:A,0)),0)</f>
        <v>0</v>
      </c>
      <c r="M120" s="3">
        <f t="shared" si="5"/>
        <v>304457.14953759359</v>
      </c>
    </row>
    <row r="121" spans="1:13">
      <c r="A121" s="9" t="s">
        <v>1564</v>
      </c>
      <c r="B121" s="9" t="s">
        <v>1189</v>
      </c>
      <c r="C121" s="9" t="s">
        <v>222</v>
      </c>
      <c r="D121" s="4" t="s">
        <v>1673</v>
      </c>
      <c r="E121" s="14" t="s">
        <v>1673</v>
      </c>
      <c r="F121" s="14" t="s">
        <v>1068</v>
      </c>
      <c r="G121" s="14" t="s">
        <v>1564</v>
      </c>
      <c r="H121" s="9" t="s">
        <v>2599</v>
      </c>
      <c r="I121" s="3">
        <v>18656301.149229702</v>
      </c>
      <c r="J121" s="3">
        <v>3284311.1329363654</v>
      </c>
      <c r="K121" s="3">
        <f t="shared" si="4"/>
        <v>21940612.282166068</v>
      </c>
      <c r="L121" s="3">
        <f>IFERROR(INDEX('CHIRP Payment Calc'!K:K,MATCH(A:A,'CHIRP Payment Calc'!A:A,0)),0)</f>
        <v>16528815.855775077</v>
      </c>
      <c r="M121" s="3">
        <f t="shared" si="5"/>
        <v>5411796.4263909906</v>
      </c>
    </row>
    <row r="122" spans="1:13">
      <c r="A122" s="9" t="s">
        <v>1576</v>
      </c>
      <c r="B122" s="9" t="s">
        <v>1189</v>
      </c>
      <c r="C122" s="9" t="s">
        <v>222</v>
      </c>
      <c r="D122" s="4" t="s">
        <v>1537</v>
      </c>
      <c r="E122" s="14" t="s">
        <v>1537</v>
      </c>
      <c r="F122" s="14" t="s">
        <v>1538</v>
      </c>
      <c r="G122" s="14" t="s">
        <v>1576</v>
      </c>
      <c r="H122" s="9" t="s">
        <v>2598</v>
      </c>
      <c r="I122" s="3">
        <v>9606.9977227061809</v>
      </c>
      <c r="J122" s="3">
        <v>0</v>
      </c>
      <c r="K122" s="3">
        <f t="shared" si="4"/>
        <v>9606.9977227061809</v>
      </c>
      <c r="L122" s="3">
        <f>IFERROR(INDEX('CHIRP Payment Calc'!K:K,MATCH(A:A,'CHIRP Payment Calc'!A:A,0)),0)</f>
        <v>0</v>
      </c>
      <c r="M122" s="3">
        <f t="shared" si="5"/>
        <v>9606.9977227061809</v>
      </c>
    </row>
    <row r="123" spans="1:13">
      <c r="A123" s="9" t="s">
        <v>704</v>
      </c>
      <c r="B123" s="9" t="s">
        <v>1189</v>
      </c>
      <c r="C123" s="9" t="s">
        <v>222</v>
      </c>
      <c r="D123" s="4" t="s">
        <v>705</v>
      </c>
      <c r="E123" s="14" t="s">
        <v>705</v>
      </c>
      <c r="F123" s="14" t="s">
        <v>706</v>
      </c>
      <c r="G123" s="14" t="s">
        <v>704</v>
      </c>
      <c r="H123" s="9" t="s">
        <v>2597</v>
      </c>
      <c r="I123" s="3">
        <v>18897924.70417339</v>
      </c>
      <c r="J123" s="3">
        <v>7676353.2867042497</v>
      </c>
      <c r="K123" s="3">
        <f t="shared" si="4"/>
        <v>26574277.99087764</v>
      </c>
      <c r="L123" s="3">
        <f>IFERROR(INDEX('CHIRP Payment Calc'!K:K,MATCH(A:A,'CHIRP Payment Calc'!A:A,0)),0)</f>
        <v>24124607.121139698</v>
      </c>
      <c r="M123" s="3">
        <f t="shared" si="5"/>
        <v>2449670.8697379418</v>
      </c>
    </row>
    <row r="124" spans="1:13">
      <c r="A124" s="9" t="s">
        <v>1080</v>
      </c>
      <c r="B124" s="9" t="s">
        <v>1189</v>
      </c>
      <c r="C124" s="9" t="s">
        <v>222</v>
      </c>
      <c r="D124" s="4" t="s">
        <v>1081</v>
      </c>
      <c r="E124" s="14" t="s">
        <v>1081</v>
      </c>
      <c r="F124" s="14" t="s">
        <v>1082</v>
      </c>
      <c r="G124" s="14" t="s">
        <v>1080</v>
      </c>
      <c r="H124" s="9" t="s">
        <v>2596</v>
      </c>
      <c r="I124" s="3">
        <v>10560057.221958436</v>
      </c>
      <c r="J124" s="3">
        <v>2853509.4379051924</v>
      </c>
      <c r="K124" s="3">
        <f t="shared" si="4"/>
        <v>13413566.659863628</v>
      </c>
      <c r="L124" s="3">
        <f>IFERROR(INDEX('CHIRP Payment Calc'!K:K,MATCH(A:A,'CHIRP Payment Calc'!A:A,0)),0)</f>
        <v>16072768.526571035</v>
      </c>
      <c r="M124" s="3">
        <f t="shared" si="5"/>
        <v>-2659201.8667074069</v>
      </c>
    </row>
    <row r="125" spans="1:13">
      <c r="A125" s="9" t="s">
        <v>701</v>
      </c>
      <c r="B125" s="9" t="s">
        <v>1189</v>
      </c>
      <c r="C125" s="9" t="s">
        <v>1559</v>
      </c>
      <c r="D125" s="4" t="s">
        <v>702</v>
      </c>
      <c r="E125" s="14" t="s">
        <v>702</v>
      </c>
      <c r="F125" s="14" t="s">
        <v>703</v>
      </c>
      <c r="G125" s="14" t="s">
        <v>701</v>
      </c>
      <c r="H125" s="9" t="s">
        <v>2595</v>
      </c>
      <c r="I125" s="3">
        <v>5981657.7747466909</v>
      </c>
      <c r="J125" s="3">
        <v>8008782.3274075119</v>
      </c>
      <c r="K125" s="3">
        <f t="shared" si="4"/>
        <v>13990440.102154203</v>
      </c>
      <c r="L125" s="3">
        <f>IFERROR(INDEX('CHIRP Payment Calc'!K:K,MATCH(A:A,'CHIRP Payment Calc'!A:A,0)),0)</f>
        <v>21458638.794593349</v>
      </c>
      <c r="M125" s="3">
        <f t="shared" si="5"/>
        <v>-7468198.6924391463</v>
      </c>
    </row>
    <row r="126" spans="1:13">
      <c r="A126" s="9" t="s">
        <v>168</v>
      </c>
      <c r="B126" s="9" t="s">
        <v>300</v>
      </c>
      <c r="C126" s="9" t="s">
        <v>1644</v>
      </c>
      <c r="D126" s="4" t="s">
        <v>169</v>
      </c>
      <c r="E126" s="14" t="s">
        <v>169</v>
      </c>
      <c r="F126" s="14" t="s">
        <v>170</v>
      </c>
      <c r="G126" s="14" t="s">
        <v>168</v>
      </c>
      <c r="H126" s="9" t="s">
        <v>2594</v>
      </c>
      <c r="I126" s="3">
        <v>2496945.62818478</v>
      </c>
      <c r="J126" s="3">
        <v>0</v>
      </c>
      <c r="K126" s="3">
        <f t="shared" si="4"/>
        <v>2496945.62818478</v>
      </c>
      <c r="L126" s="3">
        <f>IFERROR(INDEX('CHIRP Payment Calc'!K:K,MATCH(A:A,'CHIRP Payment Calc'!A:A,0)),0)</f>
        <v>0</v>
      </c>
      <c r="M126" s="3">
        <f t="shared" si="5"/>
        <v>2496945.62818478</v>
      </c>
    </row>
    <row r="127" spans="1:13">
      <c r="A127" s="9" t="s">
        <v>425</v>
      </c>
      <c r="B127" s="9" t="s">
        <v>300</v>
      </c>
      <c r="C127" s="9" t="s">
        <v>1644</v>
      </c>
      <c r="D127" s="4" t="s">
        <v>426</v>
      </c>
      <c r="E127" s="14" t="s">
        <v>426</v>
      </c>
      <c r="F127" s="14" t="s">
        <v>427</v>
      </c>
      <c r="G127" s="14" t="s">
        <v>425</v>
      </c>
      <c r="H127" s="9" t="s">
        <v>1667</v>
      </c>
      <c r="I127" s="3">
        <v>440424448.21043444</v>
      </c>
      <c r="J127" s="3">
        <v>5858705.9648445481</v>
      </c>
      <c r="K127" s="3">
        <f t="shared" si="4"/>
        <v>446283154.17527896</v>
      </c>
      <c r="L127" s="3">
        <f>IFERROR(INDEX('CHIRP Payment Calc'!K:K,MATCH(A:A,'CHIRP Payment Calc'!A:A,0)),0)</f>
        <v>375575955.56542456</v>
      </c>
      <c r="M127" s="3">
        <f t="shared" si="5"/>
        <v>70707198.6098544</v>
      </c>
    </row>
    <row r="128" spans="1:13">
      <c r="A128" s="9" t="s">
        <v>395</v>
      </c>
      <c r="B128" s="9" t="s">
        <v>300</v>
      </c>
      <c r="C128" s="9" t="s">
        <v>1644</v>
      </c>
      <c r="D128" s="4" t="s">
        <v>396</v>
      </c>
      <c r="E128" s="14" t="s">
        <v>396</v>
      </c>
      <c r="F128" s="14" t="s">
        <v>397</v>
      </c>
      <c r="G128" s="14" t="s">
        <v>395</v>
      </c>
      <c r="H128" s="9" t="s">
        <v>2179</v>
      </c>
      <c r="I128" s="3">
        <v>1075391.1354460684</v>
      </c>
      <c r="J128" s="3">
        <v>0</v>
      </c>
      <c r="K128" s="3">
        <f t="shared" si="4"/>
        <v>1075391.1354460684</v>
      </c>
      <c r="L128" s="3">
        <f>IFERROR(INDEX('CHIRP Payment Calc'!K:K,MATCH(A:A,'CHIRP Payment Calc'!A:A,0)),0)</f>
        <v>0</v>
      </c>
      <c r="M128" s="3">
        <f t="shared" si="5"/>
        <v>1075391.1354460684</v>
      </c>
    </row>
    <row r="129" spans="1:13">
      <c r="A129" s="9" t="s">
        <v>398</v>
      </c>
      <c r="B129" s="9" t="s">
        <v>300</v>
      </c>
      <c r="C129" s="9" t="s">
        <v>1644</v>
      </c>
      <c r="D129" s="4" t="s">
        <v>399</v>
      </c>
      <c r="E129" s="14" t="s">
        <v>399</v>
      </c>
      <c r="F129" s="14" t="s">
        <v>400</v>
      </c>
      <c r="G129" s="14" t="s">
        <v>398</v>
      </c>
      <c r="H129" s="9" t="s">
        <v>2593</v>
      </c>
      <c r="I129" s="3">
        <v>750687.53378046665</v>
      </c>
      <c r="J129" s="3">
        <v>0</v>
      </c>
      <c r="K129" s="3">
        <f t="shared" si="4"/>
        <v>750687.53378046665</v>
      </c>
      <c r="L129" s="3">
        <f>IFERROR(INDEX('CHIRP Payment Calc'!K:K,MATCH(A:A,'CHIRP Payment Calc'!A:A,0)),0)</f>
        <v>0</v>
      </c>
      <c r="M129" s="3">
        <f t="shared" si="5"/>
        <v>750687.53378046665</v>
      </c>
    </row>
    <row r="130" spans="1:13">
      <c r="A130" s="9" t="s">
        <v>1334</v>
      </c>
      <c r="B130" s="9" t="s">
        <v>300</v>
      </c>
      <c r="C130" s="9" t="s">
        <v>2236</v>
      </c>
      <c r="D130" s="4" t="s">
        <v>1335</v>
      </c>
      <c r="E130" s="14" t="s">
        <v>1335</v>
      </c>
      <c r="F130" s="14" t="s">
        <v>1336</v>
      </c>
      <c r="G130" s="14" t="s">
        <v>1334</v>
      </c>
      <c r="H130" s="9" t="s">
        <v>2592</v>
      </c>
      <c r="I130" s="3">
        <v>3935195.5785313924</v>
      </c>
      <c r="J130" s="3">
        <v>0</v>
      </c>
      <c r="K130" s="3">
        <f t="shared" si="4"/>
        <v>3935195.5785313924</v>
      </c>
      <c r="L130" s="3">
        <f>IFERROR(INDEX('CHIRP Payment Calc'!K:K,MATCH(A:A,'CHIRP Payment Calc'!A:A,0)),0)</f>
        <v>3345431.0039696363</v>
      </c>
      <c r="M130" s="3">
        <f t="shared" si="5"/>
        <v>589764.5745617561</v>
      </c>
    </row>
    <row r="131" spans="1:13">
      <c r="A131" s="9" t="s">
        <v>488</v>
      </c>
      <c r="B131" s="9" t="s">
        <v>300</v>
      </c>
      <c r="C131" s="9" t="s">
        <v>2236</v>
      </c>
      <c r="D131" s="4" t="s">
        <v>489</v>
      </c>
      <c r="E131" s="14" t="s">
        <v>489</v>
      </c>
      <c r="F131" s="14" t="s">
        <v>490</v>
      </c>
      <c r="G131" s="14" t="s">
        <v>488</v>
      </c>
      <c r="H131" s="9" t="s">
        <v>2591</v>
      </c>
      <c r="I131" s="3">
        <v>1051999.5616684686</v>
      </c>
      <c r="J131" s="3">
        <v>0</v>
      </c>
      <c r="K131" s="3">
        <f t="shared" si="4"/>
        <v>1051999.5616684686</v>
      </c>
      <c r="L131" s="3">
        <f>IFERROR(INDEX('CHIRP Payment Calc'!K:K,MATCH(A:A,'CHIRP Payment Calc'!A:A,0)),0)</f>
        <v>0</v>
      </c>
      <c r="M131" s="3">
        <f t="shared" si="5"/>
        <v>1051999.5616684686</v>
      </c>
    </row>
    <row r="132" spans="1:13">
      <c r="A132" s="9" t="s">
        <v>1218</v>
      </c>
      <c r="B132" s="9" t="s">
        <v>300</v>
      </c>
      <c r="C132" s="9" t="s">
        <v>2236</v>
      </c>
      <c r="D132" s="4" t="s">
        <v>1219</v>
      </c>
      <c r="E132" s="14" t="s">
        <v>1219</v>
      </c>
      <c r="F132" s="14" t="s">
        <v>1220</v>
      </c>
      <c r="G132" s="14" t="s">
        <v>1218</v>
      </c>
      <c r="H132" s="9" t="s">
        <v>2590</v>
      </c>
      <c r="I132" s="3">
        <v>1936335.3760117826</v>
      </c>
      <c r="J132" s="3">
        <v>0</v>
      </c>
      <c r="K132" s="3">
        <f t="shared" si="4"/>
        <v>1936335.3760117826</v>
      </c>
      <c r="L132" s="3">
        <f>IFERROR(INDEX('CHIRP Payment Calc'!K:K,MATCH(A:A,'CHIRP Payment Calc'!A:A,0)),0)</f>
        <v>1978840.3330002909</v>
      </c>
      <c r="M132" s="3">
        <f t="shared" si="5"/>
        <v>-42504.956988508347</v>
      </c>
    </row>
    <row r="133" spans="1:13">
      <c r="A133" s="9" t="s">
        <v>1357</v>
      </c>
      <c r="B133" s="9" t="s">
        <v>300</v>
      </c>
      <c r="C133" s="9" t="s">
        <v>2236</v>
      </c>
      <c r="D133" s="4" t="s">
        <v>1358</v>
      </c>
      <c r="E133" s="14" t="s">
        <v>1358</v>
      </c>
      <c r="F133" s="14" t="s">
        <v>1359</v>
      </c>
      <c r="G133" s="14" t="s">
        <v>1357</v>
      </c>
      <c r="H133" s="9" t="s">
        <v>2589</v>
      </c>
      <c r="I133" s="3">
        <v>1299417.4048151611</v>
      </c>
      <c r="J133" s="3">
        <v>0</v>
      </c>
      <c r="K133" s="3">
        <f t="shared" si="4"/>
        <v>1299417.4048151611</v>
      </c>
      <c r="L133" s="3">
        <f>IFERROR(INDEX('CHIRP Payment Calc'!K:K,MATCH(A:A,'CHIRP Payment Calc'!A:A,0)),0)</f>
        <v>879998.58602819394</v>
      </c>
      <c r="M133" s="3">
        <f t="shared" si="5"/>
        <v>419418.8187869672</v>
      </c>
    </row>
    <row r="134" spans="1:13">
      <c r="A134" s="9" t="s">
        <v>1238</v>
      </c>
      <c r="B134" s="9" t="s">
        <v>300</v>
      </c>
      <c r="C134" s="9" t="s">
        <v>2236</v>
      </c>
      <c r="D134" s="4" t="s">
        <v>1239</v>
      </c>
      <c r="E134" s="14" t="s">
        <v>1239</v>
      </c>
      <c r="F134" s="14" t="s">
        <v>1240</v>
      </c>
      <c r="G134" s="14" t="s">
        <v>1238</v>
      </c>
      <c r="H134" s="9" t="s">
        <v>2588</v>
      </c>
      <c r="I134" s="3">
        <v>0</v>
      </c>
      <c r="J134" s="3">
        <v>0</v>
      </c>
      <c r="K134" s="3">
        <f t="shared" si="4"/>
        <v>0</v>
      </c>
      <c r="L134" s="3">
        <f>IFERROR(INDEX('CHIRP Payment Calc'!K:K,MATCH(A:A,'CHIRP Payment Calc'!A:A,0)),0)</f>
        <v>0</v>
      </c>
      <c r="M134" s="3">
        <f t="shared" si="5"/>
        <v>0</v>
      </c>
    </row>
    <row r="135" spans="1:13">
      <c r="A135" s="9" t="s">
        <v>1354</v>
      </c>
      <c r="B135" s="9" t="s">
        <v>300</v>
      </c>
      <c r="C135" s="9" t="s">
        <v>2236</v>
      </c>
      <c r="D135" s="4" t="s">
        <v>1355</v>
      </c>
      <c r="E135" s="14" t="s">
        <v>1355</v>
      </c>
      <c r="F135" s="14" t="s">
        <v>1356</v>
      </c>
      <c r="G135" s="14" t="s">
        <v>1354</v>
      </c>
      <c r="H135" s="9" t="s">
        <v>2587</v>
      </c>
      <c r="I135" s="3">
        <v>4622021.8167845039</v>
      </c>
      <c r="J135" s="3">
        <v>0</v>
      </c>
      <c r="K135" s="3">
        <f t="shared" si="4"/>
        <v>4622021.8167845039</v>
      </c>
      <c r="L135" s="3">
        <f>IFERROR(INDEX('CHIRP Payment Calc'!K:K,MATCH(A:A,'CHIRP Payment Calc'!A:A,0)),0)</f>
        <v>3555182.7224820154</v>
      </c>
      <c r="M135" s="3">
        <f t="shared" si="5"/>
        <v>1066839.0943024885</v>
      </c>
    </row>
    <row r="136" spans="1:13">
      <c r="A136" s="9" t="s">
        <v>1528</v>
      </c>
      <c r="B136" s="9" t="s">
        <v>300</v>
      </c>
      <c r="C136" s="9" t="s">
        <v>2236</v>
      </c>
      <c r="D136" s="4" t="s">
        <v>1529</v>
      </c>
      <c r="E136" s="14" t="e">
        <v>#N/A</v>
      </c>
      <c r="F136" s="14" t="e">
        <v>#N/A</v>
      </c>
      <c r="G136" s="14" t="e">
        <v>#N/A</v>
      </c>
      <c r="H136" s="9" t="s">
        <v>2586</v>
      </c>
      <c r="I136" s="3">
        <v>0</v>
      </c>
      <c r="J136" s="3">
        <v>0</v>
      </c>
      <c r="K136" s="3">
        <f t="shared" ref="K136:K199" si="6">I136+J136</f>
        <v>0</v>
      </c>
      <c r="L136" s="3">
        <f>IFERROR(INDEX('CHIRP Payment Calc'!K:K,MATCH(A:A,'CHIRP Payment Calc'!A:A,0)),0)</f>
        <v>0</v>
      </c>
      <c r="M136" s="3">
        <f t="shared" ref="M136:M199" si="7">K136-L136</f>
        <v>0</v>
      </c>
    </row>
    <row r="137" spans="1:13">
      <c r="A137" s="9" t="s">
        <v>1190</v>
      </c>
      <c r="B137" s="9" t="s">
        <v>300</v>
      </c>
      <c r="C137" s="9" t="s">
        <v>2236</v>
      </c>
      <c r="D137" s="4" t="s">
        <v>1191</v>
      </c>
      <c r="E137" s="14" t="s">
        <v>1191</v>
      </c>
      <c r="F137" s="14" t="s">
        <v>1192</v>
      </c>
      <c r="G137" s="14" t="s">
        <v>1190</v>
      </c>
      <c r="H137" s="9" t="s">
        <v>2585</v>
      </c>
      <c r="I137" s="3">
        <v>0</v>
      </c>
      <c r="J137" s="3">
        <v>0</v>
      </c>
      <c r="K137" s="3">
        <f t="shared" si="6"/>
        <v>0</v>
      </c>
      <c r="L137" s="3">
        <f>IFERROR(INDEX('CHIRP Payment Calc'!K:K,MATCH(A:A,'CHIRP Payment Calc'!A:A,0)),0)</f>
        <v>0</v>
      </c>
      <c r="M137" s="3">
        <f t="shared" si="7"/>
        <v>0</v>
      </c>
    </row>
    <row r="138" spans="1:13">
      <c r="A138" s="9" t="s">
        <v>1479</v>
      </c>
      <c r="B138" s="15" t="s">
        <v>310</v>
      </c>
      <c r="C138" s="15" t="s">
        <v>1481</v>
      </c>
      <c r="D138" s="4" t="s">
        <v>1480</v>
      </c>
      <c r="E138" s="14" t="e">
        <v>#N/A</v>
      </c>
      <c r="F138" s="14" t="e">
        <v>#N/A</v>
      </c>
      <c r="G138" s="14" t="e">
        <v>#N/A</v>
      </c>
      <c r="H138" s="9" t="s">
        <v>2393</v>
      </c>
      <c r="I138" s="3">
        <v>687836.21223730384</v>
      </c>
      <c r="J138" s="3">
        <v>222865.88641060537</v>
      </c>
      <c r="K138" s="3">
        <f t="shared" si="6"/>
        <v>910702.09864790924</v>
      </c>
      <c r="L138" s="3">
        <f>IFERROR(INDEX('CHIRP Payment Calc'!K:K,MATCH(A:A,'CHIRP Payment Calc'!A:A,0)),0)</f>
        <v>910647.8504882782</v>
      </c>
      <c r="M138" s="3">
        <f t="shared" si="7"/>
        <v>54.248159631039016</v>
      </c>
    </row>
    <row r="139" spans="1:13">
      <c r="A139" s="9" t="s">
        <v>1265</v>
      </c>
      <c r="B139" s="9" t="s">
        <v>300</v>
      </c>
      <c r="C139" s="9" t="s">
        <v>2236</v>
      </c>
      <c r="D139" s="4" t="s">
        <v>1266</v>
      </c>
      <c r="E139" s="14" t="s">
        <v>1266</v>
      </c>
      <c r="F139" s="14" t="s">
        <v>1267</v>
      </c>
      <c r="G139" s="14" t="s">
        <v>1265</v>
      </c>
      <c r="H139" s="9" t="s">
        <v>2583</v>
      </c>
      <c r="I139" s="3">
        <v>1836881.3324376929</v>
      </c>
      <c r="J139" s="3">
        <v>0</v>
      </c>
      <c r="K139" s="3">
        <f t="shared" si="6"/>
        <v>1836881.3324376929</v>
      </c>
      <c r="L139" s="3">
        <f>IFERROR(INDEX('CHIRP Payment Calc'!K:K,MATCH(A:A,'CHIRP Payment Calc'!A:A,0)),0)</f>
        <v>2743641.8425458106</v>
      </c>
      <c r="M139" s="3">
        <f t="shared" si="7"/>
        <v>-906760.51010811771</v>
      </c>
    </row>
    <row r="140" spans="1:13">
      <c r="A140" s="9" t="s">
        <v>1231</v>
      </c>
      <c r="B140" s="9" t="s">
        <v>300</v>
      </c>
      <c r="C140" s="9" t="s">
        <v>2236</v>
      </c>
      <c r="D140" s="4" t="s">
        <v>1232</v>
      </c>
      <c r="E140" s="14" t="s">
        <v>1232</v>
      </c>
      <c r="F140" s="14" t="s">
        <v>1233</v>
      </c>
      <c r="G140" s="14" t="s">
        <v>1231</v>
      </c>
      <c r="H140" s="9" t="s">
        <v>2582</v>
      </c>
      <c r="I140" s="3">
        <v>2693516.4098668206</v>
      </c>
      <c r="J140" s="3">
        <v>0</v>
      </c>
      <c r="K140" s="3">
        <f t="shared" si="6"/>
        <v>2693516.4098668206</v>
      </c>
      <c r="L140" s="3">
        <f>IFERROR(INDEX('CHIRP Payment Calc'!K:K,MATCH(A:A,'CHIRP Payment Calc'!A:A,0)),0)</f>
        <v>2562109.0754308351</v>
      </c>
      <c r="M140" s="3">
        <f t="shared" si="7"/>
        <v>131407.33443598542</v>
      </c>
    </row>
    <row r="141" spans="1:13">
      <c r="A141" s="9" t="s">
        <v>135</v>
      </c>
      <c r="B141" s="9" t="s">
        <v>1489</v>
      </c>
      <c r="C141" s="9" t="s">
        <v>1550</v>
      </c>
      <c r="D141" s="4" t="s">
        <v>136</v>
      </c>
      <c r="E141" s="14" t="s">
        <v>136</v>
      </c>
      <c r="F141" s="14" t="e">
        <v>#N/A</v>
      </c>
      <c r="G141" s="14" t="s">
        <v>135</v>
      </c>
      <c r="H141" s="9" t="s">
        <v>2420</v>
      </c>
      <c r="I141" s="3">
        <v>224930.23310111393</v>
      </c>
      <c r="J141" s="3">
        <v>114667.62380841179</v>
      </c>
      <c r="K141" s="3">
        <f t="shared" si="6"/>
        <v>339597.8569095257</v>
      </c>
      <c r="L141" s="3">
        <f>IFERROR(INDEX('CHIRP Payment Calc'!K:K,MATCH(A:A,'CHIRP Payment Calc'!A:A,0)),0)</f>
        <v>625961.43196860247</v>
      </c>
      <c r="M141" s="3">
        <f t="shared" si="7"/>
        <v>-286363.57505907677</v>
      </c>
    </row>
    <row r="142" spans="1:13">
      <c r="A142" s="9" t="s">
        <v>1206</v>
      </c>
      <c r="B142" s="9" t="s">
        <v>300</v>
      </c>
      <c r="C142" s="9" t="s">
        <v>2236</v>
      </c>
      <c r="D142" s="4" t="s">
        <v>1207</v>
      </c>
      <c r="E142" s="14" t="s">
        <v>1207</v>
      </c>
      <c r="F142" s="14" t="s">
        <v>1208</v>
      </c>
      <c r="G142" s="14" t="s">
        <v>1206</v>
      </c>
      <c r="H142" s="9" t="s">
        <v>2580</v>
      </c>
      <c r="I142" s="3">
        <v>0</v>
      </c>
      <c r="J142" s="3">
        <v>0</v>
      </c>
      <c r="K142" s="3">
        <f t="shared" si="6"/>
        <v>0</v>
      </c>
      <c r="L142" s="3">
        <f>IFERROR(INDEX('CHIRP Payment Calc'!K:K,MATCH(A:A,'CHIRP Payment Calc'!A:A,0)),0)</f>
        <v>0</v>
      </c>
      <c r="M142" s="3">
        <f t="shared" si="7"/>
        <v>0</v>
      </c>
    </row>
    <row r="143" spans="1:13">
      <c r="A143" s="9" t="s">
        <v>1509</v>
      </c>
      <c r="B143" s="9" t="s">
        <v>300</v>
      </c>
      <c r="C143" s="9" t="s">
        <v>2236</v>
      </c>
      <c r="D143" s="4" t="s">
        <v>1510</v>
      </c>
      <c r="E143" s="14" t="e">
        <v>#N/A</v>
      </c>
      <c r="F143" s="14" t="e">
        <v>#N/A</v>
      </c>
      <c r="G143" s="14" t="e">
        <v>#N/A</v>
      </c>
      <c r="H143" s="9" t="s">
        <v>2579</v>
      </c>
      <c r="I143" s="3">
        <v>0</v>
      </c>
      <c r="J143" s="3">
        <v>0</v>
      </c>
      <c r="K143" s="3">
        <f t="shared" si="6"/>
        <v>0</v>
      </c>
      <c r="L143" s="3">
        <f>IFERROR(INDEX('CHIRP Payment Calc'!K:K,MATCH(A:A,'CHIRP Payment Calc'!A:A,0)),0)</f>
        <v>0</v>
      </c>
      <c r="M143" s="3">
        <f t="shared" si="7"/>
        <v>0</v>
      </c>
    </row>
    <row r="144" spans="1:13">
      <c r="A144" s="9" t="s">
        <v>1313</v>
      </c>
      <c r="B144" s="9" t="s">
        <v>300</v>
      </c>
      <c r="C144" s="9" t="s">
        <v>2236</v>
      </c>
      <c r="D144" s="4" t="s">
        <v>1314</v>
      </c>
      <c r="E144" s="14" t="s">
        <v>1314</v>
      </c>
      <c r="F144" s="14" t="s">
        <v>1315</v>
      </c>
      <c r="G144" s="14" t="s">
        <v>1313</v>
      </c>
      <c r="H144" s="9" t="s">
        <v>2578</v>
      </c>
      <c r="I144" s="3">
        <v>3757348.1823114208</v>
      </c>
      <c r="J144" s="3">
        <v>0</v>
      </c>
      <c r="K144" s="3">
        <f t="shared" si="6"/>
        <v>3757348.1823114208</v>
      </c>
      <c r="L144" s="3">
        <f>IFERROR(INDEX('CHIRP Payment Calc'!K:K,MATCH(A:A,'CHIRP Payment Calc'!A:A,0)),0)</f>
        <v>3669234.8156919563</v>
      </c>
      <c r="M144" s="3">
        <f t="shared" si="7"/>
        <v>88113.366619464476</v>
      </c>
    </row>
    <row r="145" spans="1:13">
      <c r="A145" s="9" t="s">
        <v>1286</v>
      </c>
      <c r="B145" s="9" t="s">
        <v>300</v>
      </c>
      <c r="C145" s="9" t="s">
        <v>2236</v>
      </c>
      <c r="D145" s="4" t="s">
        <v>1287</v>
      </c>
      <c r="E145" s="14" t="s">
        <v>1287</v>
      </c>
      <c r="F145" s="14" t="s">
        <v>1288</v>
      </c>
      <c r="G145" s="14" t="s">
        <v>1286</v>
      </c>
      <c r="H145" s="9" t="s">
        <v>2577</v>
      </c>
      <c r="I145" s="3">
        <v>0</v>
      </c>
      <c r="J145" s="3">
        <v>0</v>
      </c>
      <c r="K145" s="3">
        <f t="shared" si="6"/>
        <v>0</v>
      </c>
      <c r="L145" s="3">
        <f>IFERROR(INDEX('CHIRP Payment Calc'!K:K,MATCH(A:A,'CHIRP Payment Calc'!A:A,0)),0)</f>
        <v>0</v>
      </c>
      <c r="M145" s="3">
        <f t="shared" si="7"/>
        <v>0</v>
      </c>
    </row>
    <row r="146" spans="1:13">
      <c r="A146" s="9" t="s">
        <v>1228</v>
      </c>
      <c r="B146" s="9" t="s">
        <v>300</v>
      </c>
      <c r="C146" s="9" t="s">
        <v>2236</v>
      </c>
      <c r="D146" s="4" t="s">
        <v>1229</v>
      </c>
      <c r="E146" s="14" t="s">
        <v>1229</v>
      </c>
      <c r="F146" s="14" t="s">
        <v>1230</v>
      </c>
      <c r="G146" s="14" t="s">
        <v>1228</v>
      </c>
      <c r="H146" s="9" t="s">
        <v>2576</v>
      </c>
      <c r="I146" s="3">
        <v>0</v>
      </c>
      <c r="J146" s="3">
        <v>0</v>
      </c>
      <c r="K146" s="3">
        <f t="shared" si="6"/>
        <v>0</v>
      </c>
      <c r="L146" s="3">
        <f>IFERROR(INDEX('CHIRP Payment Calc'!K:K,MATCH(A:A,'CHIRP Payment Calc'!A:A,0)),0)</f>
        <v>0</v>
      </c>
      <c r="M146" s="3">
        <f t="shared" si="7"/>
        <v>0</v>
      </c>
    </row>
    <row r="147" spans="1:13">
      <c r="A147" s="9" t="s">
        <v>1047</v>
      </c>
      <c r="B147" s="9" t="s">
        <v>300</v>
      </c>
      <c r="C147" s="9" t="s">
        <v>1558</v>
      </c>
      <c r="D147" s="4" t="s">
        <v>1048</v>
      </c>
      <c r="E147" s="14" t="s">
        <v>1048</v>
      </c>
      <c r="F147" s="14" t="s">
        <v>1049</v>
      </c>
      <c r="G147" s="14" t="s">
        <v>1047</v>
      </c>
      <c r="H147" s="9" t="s">
        <v>2575</v>
      </c>
      <c r="I147" s="3">
        <v>4817718.6368209934</v>
      </c>
      <c r="J147" s="3">
        <v>1972822.9921097341</v>
      </c>
      <c r="K147" s="3">
        <f t="shared" si="6"/>
        <v>6790541.628930727</v>
      </c>
      <c r="L147" s="3">
        <f>IFERROR(INDEX('CHIRP Payment Calc'!K:K,MATCH(A:A,'CHIRP Payment Calc'!A:A,0)),0)</f>
        <v>4996673.0003739465</v>
      </c>
      <c r="M147" s="3">
        <f t="shared" si="7"/>
        <v>1793868.6285567805</v>
      </c>
    </row>
    <row r="148" spans="1:13">
      <c r="A148" s="9" t="s">
        <v>572</v>
      </c>
      <c r="B148" s="9" t="s">
        <v>300</v>
      </c>
      <c r="C148" s="9" t="s">
        <v>222</v>
      </c>
      <c r="D148" s="4" t="s">
        <v>573</v>
      </c>
      <c r="E148" s="14" t="s">
        <v>573</v>
      </c>
      <c r="F148" s="14" t="s">
        <v>574</v>
      </c>
      <c r="G148" s="14" t="s">
        <v>572</v>
      </c>
      <c r="H148" s="9" t="s">
        <v>2574</v>
      </c>
      <c r="I148" s="3">
        <v>30847194.887465943</v>
      </c>
      <c r="J148" s="3">
        <v>410749.74093844387</v>
      </c>
      <c r="K148" s="3">
        <f t="shared" si="6"/>
        <v>31257944.628404386</v>
      </c>
      <c r="L148" s="3">
        <f>IFERROR(INDEX('CHIRP Payment Calc'!K:K,MATCH(A:A,'CHIRP Payment Calc'!A:A,0)),0)</f>
        <v>24597958.54471413</v>
      </c>
      <c r="M148" s="3">
        <f t="shared" si="7"/>
        <v>6659986.0836902559</v>
      </c>
    </row>
    <row r="149" spans="1:13">
      <c r="A149" s="9" t="s">
        <v>297</v>
      </c>
      <c r="B149" s="9" t="s">
        <v>300</v>
      </c>
      <c r="C149" s="9" t="s">
        <v>222</v>
      </c>
      <c r="D149" s="4" t="s">
        <v>298</v>
      </c>
      <c r="E149" s="14" t="s">
        <v>298</v>
      </c>
      <c r="F149" s="14" t="s">
        <v>299</v>
      </c>
      <c r="G149" s="14" t="s">
        <v>297</v>
      </c>
      <c r="H149" s="9" t="s">
        <v>2573</v>
      </c>
      <c r="I149" s="3">
        <v>0</v>
      </c>
      <c r="J149" s="3">
        <v>0</v>
      </c>
      <c r="K149" s="3">
        <f t="shared" si="6"/>
        <v>0</v>
      </c>
      <c r="L149" s="3">
        <f>IFERROR(INDEX('CHIRP Payment Calc'!K:K,MATCH(A:A,'CHIRP Payment Calc'!A:A,0)),0)</f>
        <v>0</v>
      </c>
      <c r="M149" s="3">
        <f t="shared" si="7"/>
        <v>0</v>
      </c>
    </row>
    <row r="150" spans="1:13">
      <c r="A150" s="9" t="s">
        <v>841</v>
      </c>
      <c r="B150" s="9" t="s">
        <v>300</v>
      </c>
      <c r="C150" s="9" t="s">
        <v>222</v>
      </c>
      <c r="D150" s="4" t="s">
        <v>842</v>
      </c>
      <c r="E150" s="14" t="s">
        <v>842</v>
      </c>
      <c r="F150" s="14" t="s">
        <v>843</v>
      </c>
      <c r="G150" s="14" t="s">
        <v>841</v>
      </c>
      <c r="H150" s="9" t="s">
        <v>2572</v>
      </c>
      <c r="I150" s="3">
        <v>46558.774683769356</v>
      </c>
      <c r="J150" s="3">
        <v>44537.451695585325</v>
      </c>
      <c r="K150" s="3">
        <f t="shared" si="6"/>
        <v>91096.226379354688</v>
      </c>
      <c r="L150" s="3">
        <f>IFERROR(INDEX('CHIRP Payment Calc'!K:K,MATCH(A:A,'CHIRP Payment Calc'!A:A,0)),0)</f>
        <v>0</v>
      </c>
      <c r="M150" s="3">
        <f t="shared" si="7"/>
        <v>91096.226379354688</v>
      </c>
    </row>
    <row r="151" spans="1:13">
      <c r="A151" s="9" t="s">
        <v>413</v>
      </c>
      <c r="B151" s="9" t="s">
        <v>300</v>
      </c>
      <c r="C151" s="9" t="s">
        <v>222</v>
      </c>
      <c r="D151" s="4" t="s">
        <v>414</v>
      </c>
      <c r="E151" s="14" t="s">
        <v>414</v>
      </c>
      <c r="F151" s="14" t="s">
        <v>415</v>
      </c>
      <c r="G151" s="14" t="s">
        <v>413</v>
      </c>
      <c r="H151" s="9" t="s">
        <v>2571</v>
      </c>
      <c r="I151" s="3">
        <v>0</v>
      </c>
      <c r="J151" s="3">
        <v>0</v>
      </c>
      <c r="K151" s="3">
        <f t="shared" si="6"/>
        <v>0</v>
      </c>
      <c r="L151" s="3">
        <f>IFERROR(INDEX('CHIRP Payment Calc'!K:K,MATCH(A:A,'CHIRP Payment Calc'!A:A,0)),0)</f>
        <v>0</v>
      </c>
      <c r="M151" s="3">
        <f t="shared" si="7"/>
        <v>0</v>
      </c>
    </row>
    <row r="152" spans="1:13">
      <c r="A152" s="9" t="s">
        <v>1476</v>
      </c>
      <c r="B152" s="9" t="s">
        <v>300</v>
      </c>
      <c r="C152" s="9" t="s">
        <v>222</v>
      </c>
      <c r="D152" s="4" t="s">
        <v>1477</v>
      </c>
      <c r="E152" s="14" t="s">
        <v>1477</v>
      </c>
      <c r="F152" s="14" t="s">
        <v>1478</v>
      </c>
      <c r="G152" s="14" t="s">
        <v>1476</v>
      </c>
      <c r="H152" s="9" t="s">
        <v>2570</v>
      </c>
      <c r="I152" s="3">
        <v>239985.35732198763</v>
      </c>
      <c r="J152" s="3">
        <v>74258.981816836371</v>
      </c>
      <c r="K152" s="3">
        <f t="shared" si="6"/>
        <v>314244.33913882403</v>
      </c>
      <c r="L152" s="3">
        <f>IFERROR(INDEX('CHIRP Payment Calc'!K:K,MATCH(A:A,'CHIRP Payment Calc'!A:A,0)),0)</f>
        <v>312345.1121944855</v>
      </c>
      <c r="M152" s="3">
        <f t="shared" si="7"/>
        <v>1899.2269443385303</v>
      </c>
    </row>
    <row r="153" spans="1:13">
      <c r="A153" s="9" t="s">
        <v>560</v>
      </c>
      <c r="B153" s="9" t="s">
        <v>300</v>
      </c>
      <c r="C153" s="9" t="s">
        <v>222</v>
      </c>
      <c r="D153" s="4" t="s">
        <v>561</v>
      </c>
      <c r="E153" s="14" t="s">
        <v>561</v>
      </c>
      <c r="F153" s="14" t="s">
        <v>562</v>
      </c>
      <c r="G153" s="14" t="s">
        <v>560</v>
      </c>
      <c r="H153" s="9" t="s">
        <v>2569</v>
      </c>
      <c r="I153" s="3">
        <v>22503012.018086329</v>
      </c>
      <c r="J153" s="3">
        <v>6604946.0806889357</v>
      </c>
      <c r="K153" s="3">
        <f t="shared" si="6"/>
        <v>29107958.098775264</v>
      </c>
      <c r="L153" s="3">
        <f>IFERROR(INDEX('CHIRP Payment Calc'!K:K,MATCH(A:A,'CHIRP Payment Calc'!A:A,0)),0)</f>
        <v>25932435.258668646</v>
      </c>
      <c r="M153" s="3">
        <f t="shared" si="7"/>
        <v>3175522.8401066177</v>
      </c>
    </row>
    <row r="154" spans="1:13">
      <c r="A154" s="9" t="s">
        <v>186</v>
      </c>
      <c r="B154" s="9" t="s">
        <v>300</v>
      </c>
      <c r="C154" s="9" t="s">
        <v>222</v>
      </c>
      <c r="D154" s="4" t="s">
        <v>187</v>
      </c>
      <c r="E154" s="14" t="s">
        <v>187</v>
      </c>
      <c r="F154" s="14" t="s">
        <v>188</v>
      </c>
      <c r="G154" s="14" t="s">
        <v>186</v>
      </c>
      <c r="H154" s="9" t="s">
        <v>2568</v>
      </c>
      <c r="I154" s="3">
        <v>651953.59843935887</v>
      </c>
      <c r="J154" s="3">
        <v>3847472.6741576153</v>
      </c>
      <c r="K154" s="3">
        <f t="shared" si="6"/>
        <v>4499426.2725969739</v>
      </c>
      <c r="L154" s="3">
        <f>IFERROR(INDEX('CHIRP Payment Calc'!K:K,MATCH(A:A,'CHIRP Payment Calc'!A:A,0)),0)</f>
        <v>3590300.778380591</v>
      </c>
      <c r="M154" s="3">
        <f t="shared" si="7"/>
        <v>909125.49421638297</v>
      </c>
    </row>
    <row r="155" spans="1:13">
      <c r="A155" s="9" t="s">
        <v>575</v>
      </c>
      <c r="B155" s="9" t="s">
        <v>300</v>
      </c>
      <c r="C155" s="9" t="s">
        <v>222</v>
      </c>
      <c r="D155" s="4" t="s">
        <v>576</v>
      </c>
      <c r="E155" s="14" t="s">
        <v>576</v>
      </c>
      <c r="F155" s="14" t="s">
        <v>577</v>
      </c>
      <c r="G155" s="14" t="s">
        <v>575</v>
      </c>
      <c r="H155" s="9" t="s">
        <v>2567</v>
      </c>
      <c r="I155" s="3">
        <v>0</v>
      </c>
      <c r="J155" s="3">
        <v>0</v>
      </c>
      <c r="K155" s="3">
        <f t="shared" si="6"/>
        <v>0</v>
      </c>
      <c r="L155" s="3">
        <f>IFERROR(INDEX('CHIRP Payment Calc'!K:K,MATCH(A:A,'CHIRP Payment Calc'!A:A,0)),0)</f>
        <v>0</v>
      </c>
      <c r="M155" s="3">
        <f t="shared" si="7"/>
        <v>0</v>
      </c>
    </row>
    <row r="156" spans="1:13">
      <c r="A156" s="9" t="s">
        <v>578</v>
      </c>
      <c r="B156" s="9" t="s">
        <v>300</v>
      </c>
      <c r="C156" s="9" t="s">
        <v>222</v>
      </c>
      <c r="D156" s="4" t="s">
        <v>2566</v>
      </c>
      <c r="E156" s="14" t="s">
        <v>579</v>
      </c>
      <c r="F156" s="14" t="s">
        <v>580</v>
      </c>
      <c r="G156" s="14" t="s">
        <v>578</v>
      </c>
      <c r="H156" s="9" t="s">
        <v>2565</v>
      </c>
      <c r="I156" s="3">
        <v>0</v>
      </c>
      <c r="J156" s="3">
        <v>0</v>
      </c>
      <c r="K156" s="3">
        <f t="shared" si="6"/>
        <v>0</v>
      </c>
      <c r="L156" s="3">
        <f>IFERROR(INDEX('CHIRP Payment Calc'!K:K,MATCH(A:A,'CHIRP Payment Calc'!A:A,0)),0)</f>
        <v>0</v>
      </c>
      <c r="M156" s="3">
        <f t="shared" si="7"/>
        <v>0</v>
      </c>
    </row>
    <row r="157" spans="1:13">
      <c r="A157" s="9" t="s">
        <v>261</v>
      </c>
      <c r="B157" s="9" t="s">
        <v>300</v>
      </c>
      <c r="C157" s="9" t="s">
        <v>222</v>
      </c>
      <c r="D157" s="4" t="s">
        <v>262</v>
      </c>
      <c r="E157" s="14" t="s">
        <v>262</v>
      </c>
      <c r="F157" s="14" t="s">
        <v>263</v>
      </c>
      <c r="G157" s="14" t="s">
        <v>261</v>
      </c>
      <c r="H157" s="9" t="s">
        <v>2564</v>
      </c>
      <c r="I157" s="3">
        <v>5486998.7574516097</v>
      </c>
      <c r="J157" s="3">
        <v>0</v>
      </c>
      <c r="K157" s="3">
        <f t="shared" si="6"/>
        <v>5486998.7574516097</v>
      </c>
      <c r="L157" s="3">
        <f>IFERROR(INDEX('CHIRP Payment Calc'!K:K,MATCH(A:A,'CHIRP Payment Calc'!A:A,0)),0)</f>
        <v>7962647.251168957</v>
      </c>
      <c r="M157" s="3">
        <f t="shared" si="7"/>
        <v>-2475648.4937173473</v>
      </c>
    </row>
    <row r="158" spans="1:13">
      <c r="A158" s="9" t="e">
        <v>#N/A</v>
      </c>
      <c r="B158" s="9" t="s">
        <v>300</v>
      </c>
      <c r="C158" s="9" t="s">
        <v>222</v>
      </c>
      <c r="D158" s="4" t="s">
        <v>1521</v>
      </c>
      <c r="E158" s="14" t="e">
        <v>#N/A</v>
      </c>
      <c r="F158" s="14" t="e">
        <v>#N/A</v>
      </c>
      <c r="G158" s="14" t="e">
        <v>#N/A</v>
      </c>
      <c r="H158" s="9" t="s">
        <v>2563</v>
      </c>
      <c r="I158" s="3">
        <v>0</v>
      </c>
      <c r="J158" s="3">
        <v>0</v>
      </c>
      <c r="K158" s="3">
        <f t="shared" si="6"/>
        <v>0</v>
      </c>
      <c r="L158" s="3">
        <f>IFERROR(INDEX('CHIRP Payment Calc'!K:K,MATCH(A:A,'CHIRP Payment Calc'!A:A,0)),0)</f>
        <v>0</v>
      </c>
      <c r="M158" s="3">
        <f t="shared" si="7"/>
        <v>0</v>
      </c>
    </row>
    <row r="159" spans="1:13">
      <c r="A159" s="9" t="s">
        <v>950</v>
      </c>
      <c r="B159" s="9" t="s">
        <v>300</v>
      </c>
      <c r="C159" s="9" t="s">
        <v>222</v>
      </c>
      <c r="D159" s="4" t="s">
        <v>951</v>
      </c>
      <c r="E159" s="14" t="s">
        <v>951</v>
      </c>
      <c r="F159" s="14" t="s">
        <v>952</v>
      </c>
      <c r="G159" s="14" t="s">
        <v>950</v>
      </c>
      <c r="H159" s="9" t="s">
        <v>2562</v>
      </c>
      <c r="I159" s="3">
        <v>1321430.7782562003</v>
      </c>
      <c r="J159" s="3">
        <v>528747.00072054588</v>
      </c>
      <c r="K159" s="3">
        <f t="shared" si="6"/>
        <v>1850177.7789767461</v>
      </c>
      <c r="L159" s="3">
        <f>IFERROR(INDEX('CHIRP Payment Calc'!K:K,MATCH(A:A,'CHIRP Payment Calc'!A:A,0)),0)</f>
        <v>1615494.4326773337</v>
      </c>
      <c r="M159" s="3">
        <f t="shared" si="7"/>
        <v>234683.34629941243</v>
      </c>
    </row>
    <row r="160" spans="1:13">
      <c r="A160" s="9" t="s">
        <v>1143</v>
      </c>
      <c r="B160" s="9" t="s">
        <v>300</v>
      </c>
      <c r="C160" s="9" t="s">
        <v>222</v>
      </c>
      <c r="D160" s="4" t="s">
        <v>1144</v>
      </c>
      <c r="E160" s="14" t="s">
        <v>1144</v>
      </c>
      <c r="F160" s="14" t="s">
        <v>1145</v>
      </c>
      <c r="G160" s="14" t="s">
        <v>1143</v>
      </c>
      <c r="H160" s="9" t="s">
        <v>2561</v>
      </c>
      <c r="I160" s="3">
        <v>7915.8432122701906</v>
      </c>
      <c r="J160" s="3">
        <v>1186.8373392271683</v>
      </c>
      <c r="K160" s="3">
        <f t="shared" si="6"/>
        <v>9102.6805514973585</v>
      </c>
      <c r="L160" s="3">
        <f>IFERROR(INDEX('CHIRP Payment Calc'!K:K,MATCH(A:A,'CHIRP Payment Calc'!A:A,0)),0)</f>
        <v>0</v>
      </c>
      <c r="M160" s="3">
        <f t="shared" si="7"/>
        <v>9102.6805514973585</v>
      </c>
    </row>
    <row r="161" spans="1:13">
      <c r="A161" s="9" t="s">
        <v>2559</v>
      </c>
      <c r="B161" s="9" t="s">
        <v>300</v>
      </c>
      <c r="C161" s="9" t="s">
        <v>222</v>
      </c>
      <c r="D161" s="4" t="s">
        <v>2560</v>
      </c>
      <c r="E161" s="14" t="s">
        <v>2560</v>
      </c>
      <c r="F161" s="14" t="e">
        <v>#N/A</v>
      </c>
      <c r="G161" s="14" t="s">
        <v>2559</v>
      </c>
      <c r="H161" s="9" t="s">
        <v>2558</v>
      </c>
      <c r="I161" s="3">
        <v>0</v>
      </c>
      <c r="J161" s="3">
        <v>0</v>
      </c>
      <c r="K161" s="3">
        <f t="shared" si="6"/>
        <v>0</v>
      </c>
      <c r="L161" s="3">
        <f>IFERROR(INDEX('CHIRP Payment Calc'!K:K,MATCH(A:A,'CHIRP Payment Calc'!A:A,0)),0)</f>
        <v>0</v>
      </c>
      <c r="M161" s="3">
        <f t="shared" si="7"/>
        <v>0</v>
      </c>
    </row>
    <row r="162" spans="1:13">
      <c r="A162" s="9" t="s">
        <v>2800</v>
      </c>
      <c r="B162" s="9" t="s">
        <v>300</v>
      </c>
      <c r="C162" s="9" t="s">
        <v>222</v>
      </c>
      <c r="D162" s="4" t="s">
        <v>1468</v>
      </c>
      <c r="E162" s="14" t="s">
        <v>2800</v>
      </c>
      <c r="F162" s="14" t="e">
        <v>#N/A</v>
      </c>
      <c r="G162" s="14" t="s">
        <v>2800</v>
      </c>
      <c r="H162" s="9" t="s">
        <v>1469</v>
      </c>
      <c r="I162" s="3">
        <v>0</v>
      </c>
      <c r="J162" s="3">
        <v>0</v>
      </c>
      <c r="K162" s="3">
        <f t="shared" si="6"/>
        <v>0</v>
      </c>
      <c r="L162" s="3">
        <f>IFERROR(INDEX('CHIRP Payment Calc'!K:K,MATCH(A:A,'CHIRP Payment Calc'!A:A,0)),0)</f>
        <v>0</v>
      </c>
      <c r="M162" s="3">
        <f t="shared" si="7"/>
        <v>0</v>
      </c>
    </row>
    <row r="163" spans="1:13">
      <c r="A163" s="9" t="s">
        <v>1712</v>
      </c>
      <c r="B163" s="9" t="s">
        <v>300</v>
      </c>
      <c r="C163" s="9" t="s">
        <v>222</v>
      </c>
      <c r="D163" s="4" t="s">
        <v>1714</v>
      </c>
      <c r="E163" s="14" t="s">
        <v>1714</v>
      </c>
      <c r="F163" s="14" t="s">
        <v>2196</v>
      </c>
      <c r="G163" s="14" t="s">
        <v>1712</v>
      </c>
      <c r="H163" s="9" t="s">
        <v>2557</v>
      </c>
      <c r="I163" s="3">
        <v>10929981.312279847</v>
      </c>
      <c r="J163" s="3">
        <v>8361463.9740544381</v>
      </c>
      <c r="K163" s="3">
        <f t="shared" si="6"/>
        <v>19291445.286334284</v>
      </c>
      <c r="L163" s="3">
        <f>IFERROR(INDEX('CHIRP Payment Calc'!K:K,MATCH(A:A,'CHIRP Payment Calc'!A:A,0)),0)</f>
        <v>11326726.912467146</v>
      </c>
      <c r="M163" s="3">
        <f t="shared" si="7"/>
        <v>7964718.3738671374</v>
      </c>
    </row>
    <row r="164" spans="1:13">
      <c r="A164" s="9" t="s">
        <v>282</v>
      </c>
      <c r="B164" s="9" t="s">
        <v>300</v>
      </c>
      <c r="C164" s="9" t="s">
        <v>222</v>
      </c>
      <c r="D164" s="4" t="s">
        <v>2556</v>
      </c>
      <c r="E164" s="14" t="s">
        <v>283</v>
      </c>
      <c r="F164" s="14" t="s">
        <v>284</v>
      </c>
      <c r="G164" s="14" t="s">
        <v>282</v>
      </c>
      <c r="H164" s="9" t="s">
        <v>2555</v>
      </c>
      <c r="I164" s="3">
        <v>0</v>
      </c>
      <c r="J164" s="3">
        <v>0</v>
      </c>
      <c r="K164" s="3">
        <f t="shared" si="6"/>
        <v>0</v>
      </c>
      <c r="L164" s="3">
        <f>IFERROR(INDEX('CHIRP Payment Calc'!K:K,MATCH(A:A,'CHIRP Payment Calc'!A:A,0)),0)</f>
        <v>0</v>
      </c>
      <c r="M164" s="3">
        <f t="shared" si="7"/>
        <v>0</v>
      </c>
    </row>
    <row r="165" spans="1:13">
      <c r="A165" s="9" t="s">
        <v>557</v>
      </c>
      <c r="B165" s="9" t="s">
        <v>300</v>
      </c>
      <c r="C165" s="9" t="s">
        <v>222</v>
      </c>
      <c r="D165" s="4" t="s">
        <v>558</v>
      </c>
      <c r="E165" s="14" t="s">
        <v>558</v>
      </c>
      <c r="F165" s="14" t="s">
        <v>559</v>
      </c>
      <c r="G165" s="14" t="s">
        <v>557</v>
      </c>
      <c r="H165" s="9" t="s">
        <v>2554</v>
      </c>
      <c r="I165" s="3">
        <v>16504617.225100929</v>
      </c>
      <c r="J165" s="3">
        <v>6398245.864598278</v>
      </c>
      <c r="K165" s="3">
        <f t="shared" si="6"/>
        <v>22902863.089699209</v>
      </c>
      <c r="L165" s="3">
        <f>IFERROR(INDEX('CHIRP Payment Calc'!K:K,MATCH(A:A,'CHIRP Payment Calc'!A:A,0)),0)</f>
        <v>21532047.51891863</v>
      </c>
      <c r="M165" s="3">
        <f t="shared" si="7"/>
        <v>1370815.570780579</v>
      </c>
    </row>
    <row r="166" spans="1:13">
      <c r="A166" s="9" t="s">
        <v>2552</v>
      </c>
      <c r="B166" s="9" t="s">
        <v>300</v>
      </c>
      <c r="C166" s="9" t="s">
        <v>222</v>
      </c>
      <c r="D166" s="4" t="s">
        <v>2553</v>
      </c>
      <c r="E166" s="14" t="s">
        <v>2553</v>
      </c>
      <c r="F166" s="14" t="e">
        <v>#N/A</v>
      </c>
      <c r="G166" s="14" t="s">
        <v>2552</v>
      </c>
      <c r="H166" s="9" t="s">
        <v>2551</v>
      </c>
      <c r="I166" s="3">
        <v>0</v>
      </c>
      <c r="J166" s="3">
        <v>0</v>
      </c>
      <c r="K166" s="3">
        <f t="shared" si="6"/>
        <v>0</v>
      </c>
      <c r="L166" s="3">
        <f>IFERROR(INDEX('CHIRP Payment Calc'!K:K,MATCH(A:A,'CHIRP Payment Calc'!A:A,0)),0)</f>
        <v>0</v>
      </c>
      <c r="M166" s="3">
        <f t="shared" si="7"/>
        <v>0</v>
      </c>
    </row>
    <row r="167" spans="1:13">
      <c r="A167" s="9" t="s">
        <v>258</v>
      </c>
      <c r="B167" s="9" t="s">
        <v>300</v>
      </c>
      <c r="C167" s="9" t="s">
        <v>222</v>
      </c>
      <c r="D167" s="4" t="s">
        <v>259</v>
      </c>
      <c r="E167" s="14" t="s">
        <v>259</v>
      </c>
      <c r="F167" s="14" t="s">
        <v>260</v>
      </c>
      <c r="G167" s="14" t="s">
        <v>258</v>
      </c>
      <c r="H167" s="9" t="s">
        <v>2550</v>
      </c>
      <c r="I167" s="3">
        <v>1018140.0908645066</v>
      </c>
      <c r="J167" s="3">
        <v>0</v>
      </c>
      <c r="K167" s="3">
        <f t="shared" si="6"/>
        <v>1018140.0908645066</v>
      </c>
      <c r="L167" s="3">
        <f>IFERROR(INDEX('CHIRP Payment Calc'!K:K,MATCH(A:A,'CHIRP Payment Calc'!A:A,0)),0)</f>
        <v>2060105.9967425638</v>
      </c>
      <c r="M167" s="3">
        <f t="shared" si="7"/>
        <v>-1041965.9058780572</v>
      </c>
    </row>
    <row r="168" spans="1:13">
      <c r="A168" s="9" t="s">
        <v>1041</v>
      </c>
      <c r="B168" s="9" t="s">
        <v>300</v>
      </c>
      <c r="C168" s="9" t="s">
        <v>222</v>
      </c>
      <c r="D168" s="4" t="s">
        <v>1042</v>
      </c>
      <c r="E168" s="14" t="s">
        <v>1042</v>
      </c>
      <c r="F168" s="14" t="s">
        <v>1043</v>
      </c>
      <c r="G168" s="14" t="s">
        <v>1041</v>
      </c>
      <c r="H168" s="9" t="s">
        <v>1043</v>
      </c>
      <c r="I168" s="3">
        <v>3608329.376411892</v>
      </c>
      <c r="J168" s="3">
        <v>21844527.025333319</v>
      </c>
      <c r="K168" s="3">
        <f t="shared" si="6"/>
        <v>25452856.401745211</v>
      </c>
      <c r="L168" s="3">
        <f>IFERROR(INDEX('CHIRP Payment Calc'!K:K,MATCH(A:A,'CHIRP Payment Calc'!A:A,0)),0)</f>
        <v>21142810.504708152</v>
      </c>
      <c r="M168" s="3">
        <f t="shared" si="7"/>
        <v>4310045.8970370591</v>
      </c>
    </row>
    <row r="169" spans="1:13">
      <c r="A169" s="9" t="e">
        <v>#N/A</v>
      </c>
      <c r="B169" s="9" t="s">
        <v>300</v>
      </c>
      <c r="C169" s="9" t="s">
        <v>222</v>
      </c>
      <c r="D169" s="4" t="s">
        <v>2549</v>
      </c>
      <c r="E169" s="14" t="e">
        <v>#N/A</v>
      </c>
      <c r="F169" s="14" t="e">
        <v>#N/A</v>
      </c>
      <c r="G169" s="14" t="e">
        <v>#N/A</v>
      </c>
      <c r="H169" s="9" t="s">
        <v>2548</v>
      </c>
      <c r="I169" s="3">
        <v>0</v>
      </c>
      <c r="J169" s="3">
        <v>0</v>
      </c>
      <c r="K169" s="3">
        <f t="shared" si="6"/>
        <v>0</v>
      </c>
      <c r="L169" s="3">
        <f>IFERROR(INDEX('CHIRP Payment Calc'!K:K,MATCH(A:A,'CHIRP Payment Calc'!A:A,0)),0)</f>
        <v>0</v>
      </c>
      <c r="M169" s="3">
        <f t="shared" si="7"/>
        <v>0</v>
      </c>
    </row>
    <row r="170" spans="1:13">
      <c r="A170" s="9" t="s">
        <v>416</v>
      </c>
      <c r="B170" s="9" t="s">
        <v>300</v>
      </c>
      <c r="C170" s="9" t="s">
        <v>222</v>
      </c>
      <c r="D170" s="4" t="s">
        <v>417</v>
      </c>
      <c r="E170" s="14" t="s">
        <v>417</v>
      </c>
      <c r="F170" s="14" t="s">
        <v>418</v>
      </c>
      <c r="G170" s="14" t="s">
        <v>416</v>
      </c>
      <c r="H170" s="9" t="s">
        <v>2547</v>
      </c>
      <c r="I170" s="3">
        <v>80429.763666891493</v>
      </c>
      <c r="J170" s="3">
        <v>98002.058304221297</v>
      </c>
      <c r="K170" s="3">
        <f t="shared" si="6"/>
        <v>178431.8219711128</v>
      </c>
      <c r="L170" s="3">
        <f>IFERROR(INDEX('CHIRP Payment Calc'!K:K,MATCH(A:A,'CHIRP Payment Calc'!A:A,0)),0)</f>
        <v>498737.12157833815</v>
      </c>
      <c r="M170" s="3">
        <f t="shared" si="7"/>
        <v>-320305.29960722534</v>
      </c>
    </row>
    <row r="171" spans="1:13">
      <c r="A171" s="9" t="s">
        <v>1458</v>
      </c>
      <c r="B171" s="9" t="s">
        <v>300</v>
      </c>
      <c r="C171" s="9" t="s">
        <v>222</v>
      </c>
      <c r="D171" s="4" t="s">
        <v>1459</v>
      </c>
      <c r="E171" s="14" t="s">
        <v>1459</v>
      </c>
      <c r="F171" s="14" t="s">
        <v>1460</v>
      </c>
      <c r="G171" s="14" t="s">
        <v>1458</v>
      </c>
      <c r="H171" s="9" t="s">
        <v>2546</v>
      </c>
      <c r="I171" s="3">
        <v>0</v>
      </c>
      <c r="J171" s="3">
        <v>0</v>
      </c>
      <c r="K171" s="3">
        <f t="shared" si="6"/>
        <v>0</v>
      </c>
      <c r="L171" s="3">
        <f>IFERROR(INDEX('CHIRP Payment Calc'!K:K,MATCH(A:A,'CHIRP Payment Calc'!A:A,0)),0)</f>
        <v>0</v>
      </c>
      <c r="M171" s="3">
        <f t="shared" si="7"/>
        <v>0</v>
      </c>
    </row>
    <row r="172" spans="1:13">
      <c r="A172" s="9" t="s">
        <v>584</v>
      </c>
      <c r="B172" s="9" t="s">
        <v>300</v>
      </c>
      <c r="C172" s="9" t="s">
        <v>222</v>
      </c>
      <c r="D172" s="4" t="s">
        <v>2545</v>
      </c>
      <c r="E172" s="14" t="s">
        <v>585</v>
      </c>
      <c r="F172" s="14" t="s">
        <v>586</v>
      </c>
      <c r="G172" s="14" t="s">
        <v>584</v>
      </c>
      <c r="H172" s="9" t="s">
        <v>2544</v>
      </c>
      <c r="I172" s="3">
        <v>0</v>
      </c>
      <c r="J172" s="3">
        <v>0</v>
      </c>
      <c r="K172" s="3">
        <f t="shared" si="6"/>
        <v>0</v>
      </c>
      <c r="L172" s="3">
        <f>IFERROR(INDEX('CHIRP Payment Calc'!K:K,MATCH(A:A,'CHIRP Payment Calc'!A:A,0)),0)</f>
        <v>0</v>
      </c>
      <c r="M172" s="3">
        <f t="shared" si="7"/>
        <v>0</v>
      </c>
    </row>
    <row r="173" spans="1:13">
      <c r="A173" s="9" t="s">
        <v>569</v>
      </c>
      <c r="B173" s="9" t="s">
        <v>300</v>
      </c>
      <c r="C173" s="9" t="s">
        <v>222</v>
      </c>
      <c r="D173" s="4" t="s">
        <v>570</v>
      </c>
      <c r="E173" s="14" t="s">
        <v>570</v>
      </c>
      <c r="F173" s="14" t="s">
        <v>571</v>
      </c>
      <c r="G173" s="14" t="s">
        <v>569</v>
      </c>
      <c r="H173" s="9" t="s">
        <v>2543</v>
      </c>
      <c r="I173" s="3">
        <v>8456218.6585107446</v>
      </c>
      <c r="J173" s="3">
        <v>5278804.0326463841</v>
      </c>
      <c r="K173" s="3">
        <f t="shared" si="6"/>
        <v>13735022.691157129</v>
      </c>
      <c r="L173" s="3">
        <f>IFERROR(INDEX('CHIRP Payment Calc'!K:K,MATCH(A:A,'CHIRP Payment Calc'!A:A,0)),0)</f>
        <v>8925374.9382590987</v>
      </c>
      <c r="M173" s="3">
        <f t="shared" si="7"/>
        <v>4809647.75289803</v>
      </c>
    </row>
    <row r="174" spans="1:13">
      <c r="A174" s="9" t="s">
        <v>1436</v>
      </c>
      <c r="B174" s="9" t="s">
        <v>300</v>
      </c>
      <c r="C174" s="9" t="s">
        <v>222</v>
      </c>
      <c r="D174" s="4" t="s">
        <v>1437</v>
      </c>
      <c r="E174" s="14" t="s">
        <v>1437</v>
      </c>
      <c r="F174" s="14" t="s">
        <v>1438</v>
      </c>
      <c r="G174" s="14" t="s">
        <v>1436</v>
      </c>
      <c r="H174" s="9" t="s">
        <v>2542</v>
      </c>
      <c r="I174" s="3">
        <v>0</v>
      </c>
      <c r="J174" s="3">
        <v>0</v>
      </c>
      <c r="K174" s="3">
        <f t="shared" si="6"/>
        <v>0</v>
      </c>
      <c r="L174" s="3">
        <f>IFERROR(INDEX('CHIRP Payment Calc'!K:K,MATCH(A:A,'CHIRP Payment Calc'!A:A,0)),0)</f>
        <v>0</v>
      </c>
      <c r="M174" s="3">
        <f t="shared" si="7"/>
        <v>0</v>
      </c>
    </row>
    <row r="175" spans="1:13">
      <c r="A175" s="9" t="s">
        <v>450</v>
      </c>
      <c r="B175" s="9" t="s">
        <v>300</v>
      </c>
      <c r="C175" s="9" t="s">
        <v>222</v>
      </c>
      <c r="D175" s="4" t="s">
        <v>451</v>
      </c>
      <c r="E175" s="14" t="s">
        <v>451</v>
      </c>
      <c r="F175" s="14" t="s">
        <v>452</v>
      </c>
      <c r="G175" s="14" t="s">
        <v>450</v>
      </c>
      <c r="H175" s="9" t="s">
        <v>2541</v>
      </c>
      <c r="I175" s="3">
        <v>0</v>
      </c>
      <c r="J175" s="3">
        <v>0</v>
      </c>
      <c r="K175" s="3">
        <f t="shared" si="6"/>
        <v>0</v>
      </c>
      <c r="L175" s="3">
        <f>IFERROR(INDEX('CHIRP Payment Calc'!K:K,MATCH(A:A,'CHIRP Payment Calc'!A:A,0)),0)</f>
        <v>0</v>
      </c>
      <c r="M175" s="3">
        <f t="shared" si="7"/>
        <v>0</v>
      </c>
    </row>
    <row r="176" spans="1:13">
      <c r="A176" s="9" t="s">
        <v>2800</v>
      </c>
      <c r="B176" s="9" t="s">
        <v>300</v>
      </c>
      <c r="C176" s="9" t="s">
        <v>222</v>
      </c>
      <c r="D176" s="4" t="s">
        <v>1483</v>
      </c>
      <c r="E176" s="14" t="s">
        <v>2800</v>
      </c>
      <c r="F176" s="14" t="e">
        <v>#N/A</v>
      </c>
      <c r="G176" s="14" t="s">
        <v>2800</v>
      </c>
      <c r="H176" s="9" t="s">
        <v>2540</v>
      </c>
      <c r="I176" s="3">
        <v>0</v>
      </c>
      <c r="J176" s="3">
        <v>0</v>
      </c>
      <c r="K176" s="3">
        <f t="shared" si="6"/>
        <v>0</v>
      </c>
      <c r="L176" s="3">
        <f>IFERROR(INDEX('CHIRP Payment Calc'!K:K,MATCH(A:A,'CHIRP Payment Calc'!A:A,0)),0)</f>
        <v>0</v>
      </c>
      <c r="M176" s="3">
        <f t="shared" si="7"/>
        <v>0</v>
      </c>
    </row>
    <row r="177" spans="1:13">
      <c r="A177" s="9" t="s">
        <v>246</v>
      </c>
      <c r="B177" s="9" t="s">
        <v>300</v>
      </c>
      <c r="C177" s="9" t="s">
        <v>222</v>
      </c>
      <c r="D177" s="4" t="s">
        <v>247</v>
      </c>
      <c r="E177" s="14" t="s">
        <v>247</v>
      </c>
      <c r="F177" s="14" t="s">
        <v>248</v>
      </c>
      <c r="G177" s="14" t="s">
        <v>246</v>
      </c>
      <c r="H177" s="9" t="s">
        <v>2539</v>
      </c>
      <c r="I177" s="3">
        <v>6284313.8291833531</v>
      </c>
      <c r="J177" s="3">
        <v>1662749.8439773736</v>
      </c>
      <c r="K177" s="3">
        <f t="shared" si="6"/>
        <v>7947063.6731607262</v>
      </c>
      <c r="L177" s="3">
        <f>IFERROR(INDEX('CHIRP Payment Calc'!K:K,MATCH(A:A,'CHIRP Payment Calc'!A:A,0)),0)</f>
        <v>9711077.9709194638</v>
      </c>
      <c r="M177" s="3">
        <f t="shared" si="7"/>
        <v>-1764014.2977587376</v>
      </c>
    </row>
    <row r="178" spans="1:13">
      <c r="A178" s="9" t="s">
        <v>243</v>
      </c>
      <c r="B178" s="9" t="s">
        <v>300</v>
      </c>
      <c r="C178" s="9" t="s">
        <v>222</v>
      </c>
      <c r="D178" s="4" t="s">
        <v>244</v>
      </c>
      <c r="E178" s="14" t="s">
        <v>244</v>
      </c>
      <c r="F178" s="14" t="s">
        <v>245</v>
      </c>
      <c r="G178" s="14" t="s">
        <v>243</v>
      </c>
      <c r="H178" s="9" t="s">
        <v>2538</v>
      </c>
      <c r="I178" s="3">
        <v>7380227.9542904384</v>
      </c>
      <c r="J178" s="3">
        <v>5091909.9670989579</v>
      </c>
      <c r="K178" s="3">
        <f t="shared" si="6"/>
        <v>12472137.921389397</v>
      </c>
      <c r="L178" s="3">
        <f>IFERROR(INDEX('CHIRP Payment Calc'!K:K,MATCH(A:A,'CHIRP Payment Calc'!A:A,0)),0)</f>
        <v>14455450.112740619</v>
      </c>
      <c r="M178" s="3">
        <f t="shared" si="7"/>
        <v>-1983312.1913512219</v>
      </c>
    </row>
    <row r="179" spans="1:13">
      <c r="A179" s="9" t="s">
        <v>180</v>
      </c>
      <c r="B179" s="9" t="s">
        <v>300</v>
      </c>
      <c r="C179" s="9" t="s">
        <v>222</v>
      </c>
      <c r="D179" s="4" t="s">
        <v>181</v>
      </c>
      <c r="E179" s="14" t="s">
        <v>181</v>
      </c>
      <c r="F179" s="14" t="s">
        <v>182</v>
      </c>
      <c r="G179" s="14" t="s">
        <v>180</v>
      </c>
      <c r="H179" s="9" t="s">
        <v>2537</v>
      </c>
      <c r="I179" s="3">
        <v>0</v>
      </c>
      <c r="J179" s="3">
        <v>0</v>
      </c>
      <c r="K179" s="3">
        <f t="shared" si="6"/>
        <v>0</v>
      </c>
      <c r="L179" s="3">
        <f>IFERROR(INDEX('CHIRP Payment Calc'!K:K,MATCH(A:A,'CHIRP Payment Calc'!A:A,0)),0)</f>
        <v>0</v>
      </c>
      <c r="M179" s="3">
        <f t="shared" si="7"/>
        <v>0</v>
      </c>
    </row>
    <row r="180" spans="1:13">
      <c r="A180" s="9" t="s">
        <v>249</v>
      </c>
      <c r="B180" s="9" t="s">
        <v>300</v>
      </c>
      <c r="C180" s="9" t="s">
        <v>222</v>
      </c>
      <c r="D180" s="4" t="s">
        <v>250</v>
      </c>
      <c r="E180" s="14" t="s">
        <v>250</v>
      </c>
      <c r="F180" s="14" t="s">
        <v>251</v>
      </c>
      <c r="G180" s="14" t="s">
        <v>249</v>
      </c>
      <c r="H180" s="9" t="s">
        <v>1861</v>
      </c>
      <c r="I180" s="3">
        <v>55847.088485461471</v>
      </c>
      <c r="J180" s="3">
        <v>32489.187477707845</v>
      </c>
      <c r="K180" s="3">
        <f t="shared" si="6"/>
        <v>88336.275963169319</v>
      </c>
      <c r="L180" s="3">
        <f>IFERROR(INDEX('CHIRP Payment Calc'!K:K,MATCH(A:A,'CHIRP Payment Calc'!A:A,0)),0)</f>
        <v>0</v>
      </c>
      <c r="M180" s="3">
        <f t="shared" si="7"/>
        <v>88336.275963169319</v>
      </c>
    </row>
    <row r="181" spans="1:13">
      <c r="A181" s="9" t="s">
        <v>1455</v>
      </c>
      <c r="B181" s="9" t="s">
        <v>300</v>
      </c>
      <c r="C181" s="9" t="s">
        <v>222</v>
      </c>
      <c r="D181" s="4" t="s">
        <v>1456</v>
      </c>
      <c r="E181" s="14" t="s">
        <v>1456</v>
      </c>
      <c r="F181" s="14" t="s">
        <v>1457</v>
      </c>
      <c r="G181" s="14" t="s">
        <v>1455</v>
      </c>
      <c r="H181" s="9" t="s">
        <v>2536</v>
      </c>
      <c r="I181" s="3">
        <v>0</v>
      </c>
      <c r="J181" s="3">
        <v>0</v>
      </c>
      <c r="K181" s="3">
        <f t="shared" si="6"/>
        <v>0</v>
      </c>
      <c r="L181" s="3">
        <f>IFERROR(INDEX('CHIRP Payment Calc'!K:K,MATCH(A:A,'CHIRP Payment Calc'!A:A,0)),0)</f>
        <v>0</v>
      </c>
      <c r="M181" s="3">
        <f t="shared" si="7"/>
        <v>0</v>
      </c>
    </row>
    <row r="182" spans="1:13">
      <c r="A182" s="9" t="s">
        <v>19</v>
      </c>
      <c r="B182" s="9" t="s">
        <v>300</v>
      </c>
      <c r="C182" s="9" t="s">
        <v>222</v>
      </c>
      <c r="D182" s="4" t="s">
        <v>20</v>
      </c>
      <c r="E182" s="14" t="s">
        <v>20</v>
      </c>
      <c r="F182" s="14" t="s">
        <v>21</v>
      </c>
      <c r="G182" s="14" t="s">
        <v>19</v>
      </c>
      <c r="H182" s="9" t="s">
        <v>2535</v>
      </c>
      <c r="I182" s="3">
        <v>0</v>
      </c>
      <c r="J182" s="3">
        <v>0</v>
      </c>
      <c r="K182" s="3">
        <f t="shared" si="6"/>
        <v>0</v>
      </c>
      <c r="L182" s="3">
        <f>IFERROR(INDEX('CHIRP Payment Calc'!K:K,MATCH(A:A,'CHIRP Payment Calc'!A:A,0)),0)</f>
        <v>0</v>
      </c>
      <c r="M182" s="3">
        <f t="shared" si="7"/>
        <v>0</v>
      </c>
    </row>
    <row r="183" spans="1:13">
      <c r="A183" s="9" t="s">
        <v>419</v>
      </c>
      <c r="B183" s="9" t="s">
        <v>300</v>
      </c>
      <c r="C183" s="9" t="s">
        <v>222</v>
      </c>
      <c r="D183" s="4" t="s">
        <v>420</v>
      </c>
      <c r="E183" s="14" t="s">
        <v>420</v>
      </c>
      <c r="F183" s="14" t="s">
        <v>421</v>
      </c>
      <c r="G183" s="14" t="s">
        <v>419</v>
      </c>
      <c r="H183" s="9" t="s">
        <v>2534</v>
      </c>
      <c r="I183" s="3">
        <v>79941.515916383796</v>
      </c>
      <c r="J183" s="3">
        <v>735403.05346669175</v>
      </c>
      <c r="K183" s="3">
        <f t="shared" si="6"/>
        <v>815344.56938307558</v>
      </c>
      <c r="L183" s="3">
        <f>IFERROR(INDEX('CHIRP Payment Calc'!K:K,MATCH(A:A,'CHIRP Payment Calc'!A:A,0)),0)</f>
        <v>758894.26176259411</v>
      </c>
      <c r="M183" s="3">
        <f t="shared" si="7"/>
        <v>56450.307620481472</v>
      </c>
    </row>
    <row r="184" spans="1:13">
      <c r="A184" s="9" t="s">
        <v>1525</v>
      </c>
      <c r="B184" s="9" t="s">
        <v>300</v>
      </c>
      <c r="C184" s="9" t="s">
        <v>222</v>
      </c>
      <c r="D184" s="4" t="s">
        <v>1526</v>
      </c>
      <c r="E184" s="14" t="s">
        <v>1526</v>
      </c>
      <c r="F184" s="14" t="s">
        <v>1527</v>
      </c>
      <c r="G184" s="14" t="s">
        <v>1525</v>
      </c>
      <c r="H184" s="9" t="s">
        <v>2533</v>
      </c>
      <c r="I184" s="3">
        <v>0</v>
      </c>
      <c r="J184" s="3">
        <v>0</v>
      </c>
      <c r="K184" s="3">
        <f t="shared" si="6"/>
        <v>0</v>
      </c>
      <c r="L184" s="3">
        <f>IFERROR(INDEX('CHIRP Payment Calc'!K:K,MATCH(A:A,'CHIRP Payment Calc'!A:A,0)),0)</f>
        <v>0</v>
      </c>
      <c r="M184" s="3">
        <f t="shared" si="7"/>
        <v>0</v>
      </c>
    </row>
    <row r="185" spans="1:13">
      <c r="A185" s="9" t="s">
        <v>1196</v>
      </c>
      <c r="B185" s="9" t="s">
        <v>300</v>
      </c>
      <c r="C185" s="9" t="s">
        <v>222</v>
      </c>
      <c r="D185" s="4" t="s">
        <v>1197</v>
      </c>
      <c r="E185" s="14" t="s">
        <v>1197</v>
      </c>
      <c r="F185" s="14" t="s">
        <v>1198</v>
      </c>
      <c r="G185" s="14" t="s">
        <v>1196</v>
      </c>
      <c r="H185" s="9" t="s">
        <v>2532</v>
      </c>
      <c r="I185" s="3">
        <v>0</v>
      </c>
      <c r="J185" s="3">
        <v>0</v>
      </c>
      <c r="K185" s="3">
        <f t="shared" si="6"/>
        <v>0</v>
      </c>
      <c r="L185" s="3">
        <f>IFERROR(INDEX('CHIRP Payment Calc'!K:K,MATCH(A:A,'CHIRP Payment Calc'!A:A,0)),0)</f>
        <v>0</v>
      </c>
      <c r="M185" s="3">
        <f t="shared" si="7"/>
        <v>0</v>
      </c>
    </row>
    <row r="186" spans="1:13">
      <c r="A186" s="9" t="s">
        <v>1766</v>
      </c>
      <c r="B186" s="9" t="s">
        <v>300</v>
      </c>
      <c r="C186" s="9" t="s">
        <v>222</v>
      </c>
      <c r="D186" s="4" t="s">
        <v>1767</v>
      </c>
      <c r="E186" s="14" t="s">
        <v>1767</v>
      </c>
      <c r="F186" s="14" t="s">
        <v>2199</v>
      </c>
      <c r="G186" s="14" t="s">
        <v>1766</v>
      </c>
      <c r="H186" s="9" t="s">
        <v>1765</v>
      </c>
      <c r="I186" s="3">
        <v>0</v>
      </c>
      <c r="J186" s="3">
        <v>12194.372119659969</v>
      </c>
      <c r="K186" s="3">
        <f t="shared" si="6"/>
        <v>12194.372119659969</v>
      </c>
      <c r="L186" s="3">
        <f>IFERROR(INDEX('CHIRP Payment Calc'!K:K,MATCH(A:A,'CHIRP Payment Calc'!A:A,0)),0)</f>
        <v>0</v>
      </c>
      <c r="M186" s="3">
        <f t="shared" si="7"/>
        <v>12194.372119659969</v>
      </c>
    </row>
    <row r="187" spans="1:13">
      <c r="A187" s="9" t="s">
        <v>1430</v>
      </c>
      <c r="B187" s="9" t="s">
        <v>300</v>
      </c>
      <c r="C187" s="9" t="s">
        <v>222</v>
      </c>
      <c r="D187" s="4" t="s">
        <v>1431</v>
      </c>
      <c r="E187" s="14" t="s">
        <v>1431</v>
      </c>
      <c r="F187" s="14" t="s">
        <v>1432</v>
      </c>
      <c r="G187" s="14" t="s">
        <v>1430</v>
      </c>
      <c r="H187" s="9" t="s">
        <v>1432</v>
      </c>
      <c r="I187" s="3">
        <v>0</v>
      </c>
      <c r="J187" s="3">
        <v>0</v>
      </c>
      <c r="K187" s="3">
        <f t="shared" si="6"/>
        <v>0</v>
      </c>
      <c r="L187" s="3">
        <f>IFERROR(INDEX('CHIRP Payment Calc'!K:K,MATCH(A:A,'CHIRP Payment Calc'!A:A,0)),0)</f>
        <v>0</v>
      </c>
      <c r="M187" s="3">
        <f t="shared" si="7"/>
        <v>0</v>
      </c>
    </row>
    <row r="188" spans="1:13">
      <c r="A188" s="9" t="s">
        <v>273</v>
      </c>
      <c r="B188" s="9" t="s">
        <v>300</v>
      </c>
      <c r="C188" s="9" t="s">
        <v>222</v>
      </c>
      <c r="D188" s="4" t="s">
        <v>274</v>
      </c>
      <c r="E188" s="14" t="s">
        <v>274</v>
      </c>
      <c r="F188" s="14" t="s">
        <v>275</v>
      </c>
      <c r="G188" s="14" t="s">
        <v>273</v>
      </c>
      <c r="H188" s="9" t="s">
        <v>2531</v>
      </c>
      <c r="I188" s="3">
        <v>3691726.4067103602</v>
      </c>
      <c r="J188" s="3">
        <v>0</v>
      </c>
      <c r="K188" s="3">
        <f t="shared" si="6"/>
        <v>3691726.4067103602</v>
      </c>
      <c r="L188" s="3">
        <f>IFERROR(INDEX('CHIRP Payment Calc'!K:K,MATCH(A:A,'CHIRP Payment Calc'!A:A,0)),0)</f>
        <v>4925770.5338106165</v>
      </c>
      <c r="M188" s="3">
        <f t="shared" si="7"/>
        <v>-1234044.1271002563</v>
      </c>
    </row>
    <row r="189" spans="1:13">
      <c r="A189" s="9" t="s">
        <v>1452</v>
      </c>
      <c r="B189" s="9" t="s">
        <v>300</v>
      </c>
      <c r="C189" s="9" t="s">
        <v>222</v>
      </c>
      <c r="D189" s="4" t="s">
        <v>1453</v>
      </c>
      <c r="E189" s="14" t="s">
        <v>1453</v>
      </c>
      <c r="F189" s="14" t="s">
        <v>1454</v>
      </c>
      <c r="G189" s="14" t="s">
        <v>1452</v>
      </c>
      <c r="H189" s="9" t="s">
        <v>2530</v>
      </c>
      <c r="I189" s="3">
        <v>0</v>
      </c>
      <c r="J189" s="3">
        <v>0</v>
      </c>
      <c r="K189" s="3">
        <f t="shared" si="6"/>
        <v>0</v>
      </c>
      <c r="L189" s="3">
        <f>IFERROR(INDEX('CHIRP Payment Calc'!K:K,MATCH(A:A,'CHIRP Payment Calc'!A:A,0)),0)</f>
        <v>0</v>
      </c>
      <c r="M189" s="3">
        <f t="shared" si="7"/>
        <v>0</v>
      </c>
    </row>
    <row r="190" spans="1:13">
      <c r="A190" s="9" t="s">
        <v>1606</v>
      </c>
      <c r="B190" s="9" t="s">
        <v>300</v>
      </c>
      <c r="C190" s="9" t="s">
        <v>222</v>
      </c>
      <c r="D190" s="4" t="s">
        <v>1607</v>
      </c>
      <c r="E190" s="14" t="s">
        <v>1607</v>
      </c>
      <c r="F190" s="14" t="s">
        <v>2158</v>
      </c>
      <c r="G190" s="14" t="s">
        <v>1606</v>
      </c>
      <c r="H190" s="9" t="s">
        <v>2529</v>
      </c>
      <c r="I190" s="3">
        <v>0</v>
      </c>
      <c r="J190" s="3">
        <v>0</v>
      </c>
      <c r="K190" s="3">
        <f t="shared" si="6"/>
        <v>0</v>
      </c>
      <c r="L190" s="3">
        <f>IFERROR(INDEX('CHIRP Payment Calc'!K:K,MATCH(A:A,'CHIRP Payment Calc'!A:A,0)),0)</f>
        <v>0</v>
      </c>
      <c r="M190" s="3">
        <f t="shared" si="7"/>
        <v>0</v>
      </c>
    </row>
    <row r="191" spans="1:13">
      <c r="A191" s="9" t="s">
        <v>1137</v>
      </c>
      <c r="B191" s="9" t="s">
        <v>300</v>
      </c>
      <c r="C191" s="9" t="s">
        <v>222</v>
      </c>
      <c r="D191" s="4" t="s">
        <v>1138</v>
      </c>
      <c r="E191" s="14" t="s">
        <v>1138</v>
      </c>
      <c r="F191" s="14" t="s">
        <v>1139</v>
      </c>
      <c r="G191" s="14" t="s">
        <v>1137</v>
      </c>
      <c r="H191" s="9" t="s">
        <v>1638</v>
      </c>
      <c r="I191" s="3">
        <v>4544092.715698286</v>
      </c>
      <c r="J191" s="3">
        <v>5080603.7263867399</v>
      </c>
      <c r="K191" s="3">
        <f t="shared" si="6"/>
        <v>9624696.4420850258</v>
      </c>
      <c r="L191" s="3">
        <f>IFERROR(INDEX('CHIRP Payment Calc'!K:K,MATCH(A:A,'CHIRP Payment Calc'!A:A,0)),0)</f>
        <v>12889773.00467854</v>
      </c>
      <c r="M191" s="3">
        <f t="shared" si="7"/>
        <v>-3265076.5625935141</v>
      </c>
    </row>
    <row r="192" spans="1:13">
      <c r="A192" s="9" t="s">
        <v>566</v>
      </c>
      <c r="B192" s="9" t="s">
        <v>300</v>
      </c>
      <c r="C192" s="9" t="s">
        <v>222</v>
      </c>
      <c r="D192" s="4" t="s">
        <v>567</v>
      </c>
      <c r="E192" s="14" t="s">
        <v>567</v>
      </c>
      <c r="F192" s="14" t="s">
        <v>568</v>
      </c>
      <c r="G192" s="14" t="s">
        <v>566</v>
      </c>
      <c r="H192" s="9" t="s">
        <v>2528</v>
      </c>
      <c r="I192" s="3">
        <v>623150.82964537328</v>
      </c>
      <c r="J192" s="3">
        <v>1535670.7592339341</v>
      </c>
      <c r="K192" s="3">
        <f t="shared" si="6"/>
        <v>2158821.5888793073</v>
      </c>
      <c r="L192" s="3">
        <f>IFERROR(INDEX('CHIRP Payment Calc'!K:K,MATCH(A:A,'CHIRP Payment Calc'!A:A,0)),0)</f>
        <v>3246780.975606082</v>
      </c>
      <c r="M192" s="3">
        <f t="shared" si="7"/>
        <v>-1087959.3867267747</v>
      </c>
    </row>
    <row r="193" spans="1:13">
      <c r="A193" s="9" t="s">
        <v>447</v>
      </c>
      <c r="B193" s="9" t="s">
        <v>300</v>
      </c>
      <c r="C193" s="9" t="s">
        <v>222</v>
      </c>
      <c r="D193" s="4" t="s">
        <v>448</v>
      </c>
      <c r="E193" s="14" t="s">
        <v>448</v>
      </c>
      <c r="F193" s="14" t="s">
        <v>449</v>
      </c>
      <c r="G193" s="14" t="s">
        <v>447</v>
      </c>
      <c r="H193" s="9" t="s">
        <v>2527</v>
      </c>
      <c r="I193" s="3">
        <v>0</v>
      </c>
      <c r="J193" s="3">
        <v>0</v>
      </c>
      <c r="K193" s="3">
        <f t="shared" si="6"/>
        <v>0</v>
      </c>
      <c r="L193" s="3">
        <f>IFERROR(INDEX('CHIRP Payment Calc'!K:K,MATCH(A:A,'CHIRP Payment Calc'!A:A,0)),0)</f>
        <v>0</v>
      </c>
      <c r="M193" s="3">
        <f t="shared" si="7"/>
        <v>0</v>
      </c>
    </row>
    <row r="194" spans="1:13">
      <c r="A194" s="9" t="e">
        <v>#N/A</v>
      </c>
      <c r="B194" s="9" t="s">
        <v>300</v>
      </c>
      <c r="C194" s="9" t="s">
        <v>222</v>
      </c>
      <c r="D194" s="4" t="s">
        <v>2526</v>
      </c>
      <c r="E194" s="14" t="e">
        <v>#N/A</v>
      </c>
      <c r="F194" s="14" t="e">
        <v>#N/A</v>
      </c>
      <c r="G194" s="14" t="e">
        <v>#N/A</v>
      </c>
      <c r="H194" s="9" t="s">
        <v>2525</v>
      </c>
      <c r="I194" s="3">
        <v>0</v>
      </c>
      <c r="J194" s="3">
        <v>0</v>
      </c>
      <c r="K194" s="3">
        <f t="shared" si="6"/>
        <v>0</v>
      </c>
      <c r="L194" s="3">
        <f>IFERROR(INDEX('CHIRP Payment Calc'!K:K,MATCH(A:A,'CHIRP Payment Calc'!A:A,0)),0)</f>
        <v>0</v>
      </c>
      <c r="M194" s="3">
        <f t="shared" si="7"/>
        <v>0</v>
      </c>
    </row>
    <row r="195" spans="1:13">
      <c r="A195" s="9" t="s">
        <v>410</v>
      </c>
      <c r="B195" s="9" t="s">
        <v>300</v>
      </c>
      <c r="C195" s="9" t="s">
        <v>222</v>
      </c>
      <c r="D195" s="4" t="s">
        <v>411</v>
      </c>
      <c r="E195" s="14" t="s">
        <v>411</v>
      </c>
      <c r="F195" s="14" t="s">
        <v>412</v>
      </c>
      <c r="G195" s="14" t="s">
        <v>410</v>
      </c>
      <c r="H195" s="9" t="s">
        <v>2524</v>
      </c>
      <c r="I195" s="3">
        <v>1823544.5939564065</v>
      </c>
      <c r="J195" s="3">
        <v>1686029.722477576</v>
      </c>
      <c r="K195" s="3">
        <f t="shared" si="6"/>
        <v>3509574.3164339825</v>
      </c>
      <c r="L195" s="3">
        <f>IFERROR(INDEX('CHIRP Payment Calc'!K:K,MATCH(A:A,'CHIRP Payment Calc'!A:A,0)),0)</f>
        <v>3596850.015307996</v>
      </c>
      <c r="M195" s="3">
        <f t="shared" si="7"/>
        <v>-87275.698874013498</v>
      </c>
    </row>
    <row r="196" spans="1:13">
      <c r="A196" s="9" t="s">
        <v>4</v>
      </c>
      <c r="B196" s="9" t="s">
        <v>300</v>
      </c>
      <c r="C196" s="9" t="s">
        <v>222</v>
      </c>
      <c r="D196" s="4" t="s">
        <v>5</v>
      </c>
      <c r="E196" s="14" t="s">
        <v>5</v>
      </c>
      <c r="F196" s="14" t="s">
        <v>6</v>
      </c>
      <c r="G196" s="14" t="s">
        <v>4</v>
      </c>
      <c r="H196" s="9" t="s">
        <v>2523</v>
      </c>
      <c r="I196" s="3">
        <v>301454.26540954347</v>
      </c>
      <c r="J196" s="3">
        <v>313825.29377139919</v>
      </c>
      <c r="K196" s="3">
        <f t="shared" si="6"/>
        <v>615279.5591809426</v>
      </c>
      <c r="L196" s="3">
        <f>IFERROR(INDEX('CHIRP Payment Calc'!K:K,MATCH(A:A,'CHIRP Payment Calc'!A:A,0)),0)</f>
        <v>0</v>
      </c>
      <c r="M196" s="3">
        <f t="shared" si="7"/>
        <v>615279.5591809426</v>
      </c>
    </row>
    <row r="197" spans="1:13">
      <c r="A197" s="9" t="s">
        <v>1694</v>
      </c>
      <c r="B197" s="9" t="s">
        <v>300</v>
      </c>
      <c r="C197" s="9" t="s">
        <v>222</v>
      </c>
      <c r="D197" s="4" t="s">
        <v>1696</v>
      </c>
      <c r="E197" s="14" t="s">
        <v>1696</v>
      </c>
      <c r="F197" s="14" t="s">
        <v>2198</v>
      </c>
      <c r="G197" s="14" t="s">
        <v>1694</v>
      </c>
      <c r="H197" s="9" t="s">
        <v>1693</v>
      </c>
      <c r="I197" s="3">
        <v>2177808.5868345019</v>
      </c>
      <c r="J197" s="3">
        <v>992600.43264179688</v>
      </c>
      <c r="K197" s="3">
        <f t="shared" si="6"/>
        <v>3170409.0194762987</v>
      </c>
      <c r="L197" s="3">
        <f>IFERROR(INDEX('CHIRP Payment Calc'!K:K,MATCH(A:A,'CHIRP Payment Calc'!A:A,0)),0)</f>
        <v>3948423.7129321019</v>
      </c>
      <c r="M197" s="3">
        <f t="shared" si="7"/>
        <v>-778014.69345580321</v>
      </c>
    </row>
    <row r="198" spans="1:13">
      <c r="A198" s="9" t="s">
        <v>1870</v>
      </c>
      <c r="B198" s="9" t="s">
        <v>300</v>
      </c>
      <c r="C198" s="9" t="s">
        <v>222</v>
      </c>
      <c r="D198" s="4" t="s">
        <v>1872</v>
      </c>
      <c r="E198" s="14" t="s">
        <v>1872</v>
      </c>
      <c r="F198" s="14" t="s">
        <v>2197</v>
      </c>
      <c r="G198" s="14" t="s">
        <v>1870</v>
      </c>
      <c r="H198" s="9" t="s">
        <v>2522</v>
      </c>
      <c r="I198" s="3">
        <v>275327.49975058984</v>
      </c>
      <c r="J198" s="3">
        <v>913957.96672211902</v>
      </c>
      <c r="K198" s="3">
        <f t="shared" si="6"/>
        <v>1189285.4664727089</v>
      </c>
      <c r="L198" s="3">
        <f>IFERROR(INDEX('CHIRP Payment Calc'!K:K,MATCH(A:A,'CHIRP Payment Calc'!A:A,0)),0)</f>
        <v>2217119.6521511972</v>
      </c>
      <c r="M198" s="3">
        <f t="shared" si="7"/>
        <v>-1027834.1856784883</v>
      </c>
    </row>
    <row r="199" spans="1:13">
      <c r="A199" s="9" t="s">
        <v>453</v>
      </c>
      <c r="B199" s="9" t="s">
        <v>300</v>
      </c>
      <c r="C199" s="9" t="s">
        <v>222</v>
      </c>
      <c r="D199" s="4" t="s">
        <v>454</v>
      </c>
      <c r="E199" s="14" t="s">
        <v>454</v>
      </c>
      <c r="F199" s="14" t="s">
        <v>455</v>
      </c>
      <c r="G199" s="14" t="s">
        <v>453</v>
      </c>
      <c r="H199" s="9" t="s">
        <v>2521</v>
      </c>
      <c r="I199" s="3">
        <v>0</v>
      </c>
      <c r="J199" s="3">
        <v>0</v>
      </c>
      <c r="K199" s="3">
        <f t="shared" si="6"/>
        <v>0</v>
      </c>
      <c r="L199" s="3">
        <f>IFERROR(INDEX('CHIRP Payment Calc'!K:K,MATCH(A:A,'CHIRP Payment Calc'!A:A,0)),0)</f>
        <v>0</v>
      </c>
      <c r="M199" s="3">
        <f t="shared" si="7"/>
        <v>0</v>
      </c>
    </row>
    <row r="200" spans="1:13">
      <c r="A200" s="9" t="s">
        <v>13</v>
      </c>
      <c r="B200" s="9" t="s">
        <v>300</v>
      </c>
      <c r="C200" s="9" t="s">
        <v>222</v>
      </c>
      <c r="D200" s="4" t="s">
        <v>14</v>
      </c>
      <c r="E200" s="14" t="s">
        <v>14</v>
      </c>
      <c r="F200" s="14" t="s">
        <v>15</v>
      </c>
      <c r="G200" s="14" t="s">
        <v>13</v>
      </c>
      <c r="H200" s="9" t="s">
        <v>2520</v>
      </c>
      <c r="I200" s="3">
        <v>42794802.438506342</v>
      </c>
      <c r="J200" s="3">
        <v>26283269.458489452</v>
      </c>
      <c r="K200" s="3">
        <f t="shared" ref="K200:K263" si="8">I200+J200</f>
        <v>69078071.896995798</v>
      </c>
      <c r="L200" s="3">
        <f>IFERROR(INDEX('CHIRP Payment Calc'!K:K,MATCH(A:A,'CHIRP Payment Calc'!A:A,0)),0)</f>
        <v>79824473.252077252</v>
      </c>
      <c r="M200" s="3">
        <f t="shared" ref="M200:M263" si="9">K200-L200</f>
        <v>-10746401.355081454</v>
      </c>
    </row>
    <row r="201" spans="1:13">
      <c r="A201" s="9" t="s">
        <v>838</v>
      </c>
      <c r="B201" s="9" t="s">
        <v>300</v>
      </c>
      <c r="C201" s="9" t="s">
        <v>222</v>
      </c>
      <c r="D201" s="4" t="s">
        <v>839</v>
      </c>
      <c r="E201" s="14" t="s">
        <v>839</v>
      </c>
      <c r="F201" s="14" t="s">
        <v>840</v>
      </c>
      <c r="G201" s="14" t="s">
        <v>838</v>
      </c>
      <c r="H201" s="9" t="s">
        <v>2519</v>
      </c>
      <c r="I201" s="3">
        <v>7639805.3792064143</v>
      </c>
      <c r="J201" s="3">
        <v>4301744.9953290019</v>
      </c>
      <c r="K201" s="3">
        <f t="shared" si="8"/>
        <v>11941550.374535415</v>
      </c>
      <c r="L201" s="3">
        <f>IFERROR(INDEX('CHIRP Payment Calc'!K:K,MATCH(A:A,'CHIRP Payment Calc'!A:A,0)),0)</f>
        <v>15605602.027838221</v>
      </c>
      <c r="M201" s="3">
        <f t="shared" si="9"/>
        <v>-3664051.6533028055</v>
      </c>
    </row>
    <row r="202" spans="1:13">
      <c r="A202" s="9" t="s">
        <v>759</v>
      </c>
      <c r="B202" s="9" t="s">
        <v>300</v>
      </c>
      <c r="C202" s="9" t="s">
        <v>222</v>
      </c>
      <c r="D202" s="4" t="s">
        <v>760</v>
      </c>
      <c r="E202" s="14" t="s">
        <v>760</v>
      </c>
      <c r="F202" s="14" t="s">
        <v>761</v>
      </c>
      <c r="G202" s="14" t="s">
        <v>759</v>
      </c>
      <c r="H202" s="9" t="s">
        <v>2518</v>
      </c>
      <c r="I202" s="3">
        <v>10272228.902350813</v>
      </c>
      <c r="J202" s="3">
        <v>6166784.6190993572</v>
      </c>
      <c r="K202" s="3">
        <f t="shared" si="8"/>
        <v>16439013.521450169</v>
      </c>
      <c r="L202" s="3">
        <f>IFERROR(INDEX('CHIRP Payment Calc'!K:K,MATCH(A:A,'CHIRP Payment Calc'!A:A,0)),0)</f>
        <v>14609530.353492169</v>
      </c>
      <c r="M202" s="3">
        <f t="shared" si="9"/>
        <v>1829483.1679580007</v>
      </c>
    </row>
    <row r="203" spans="1:13">
      <c r="A203" s="9" t="s">
        <v>771</v>
      </c>
      <c r="B203" s="9" t="s">
        <v>300</v>
      </c>
      <c r="C203" s="9" t="s">
        <v>222</v>
      </c>
      <c r="D203" s="4" t="s">
        <v>772</v>
      </c>
      <c r="E203" s="14" t="s">
        <v>772</v>
      </c>
      <c r="F203" s="14" t="s">
        <v>773</v>
      </c>
      <c r="G203" s="14" t="s">
        <v>771</v>
      </c>
      <c r="H203" s="9" t="s">
        <v>2516</v>
      </c>
      <c r="I203" s="3">
        <v>13636372.151255779</v>
      </c>
      <c r="J203" s="3">
        <v>8719313.944277538</v>
      </c>
      <c r="K203" s="3">
        <f t="shared" si="8"/>
        <v>22355686.095533319</v>
      </c>
      <c r="L203" s="3">
        <f>IFERROR(INDEX('CHIRP Payment Calc'!K:K,MATCH(A:A,'CHIRP Payment Calc'!A:A,0)),0)</f>
        <v>22630537.990067918</v>
      </c>
      <c r="M203" s="3">
        <f t="shared" si="9"/>
        <v>-274851.89453459904</v>
      </c>
    </row>
    <row r="204" spans="1:13">
      <c r="A204" s="9" t="s">
        <v>140</v>
      </c>
      <c r="B204" s="9" t="s">
        <v>300</v>
      </c>
      <c r="C204" s="9" t="s">
        <v>222</v>
      </c>
      <c r="D204" s="4" t="s">
        <v>141</v>
      </c>
      <c r="E204" s="14" t="s">
        <v>141</v>
      </c>
      <c r="F204" s="14" t="s">
        <v>142</v>
      </c>
      <c r="G204" s="14" t="s">
        <v>140</v>
      </c>
      <c r="H204" s="9" t="s">
        <v>2515</v>
      </c>
      <c r="I204" s="3">
        <v>0</v>
      </c>
      <c r="J204" s="3">
        <v>0</v>
      </c>
      <c r="K204" s="3">
        <f t="shared" si="8"/>
        <v>0</v>
      </c>
      <c r="L204" s="3">
        <f>IFERROR(INDEX('CHIRP Payment Calc'!K:K,MATCH(A:A,'CHIRP Payment Calc'!A:A,0)),0)</f>
        <v>0</v>
      </c>
      <c r="M204" s="3">
        <f t="shared" si="9"/>
        <v>0</v>
      </c>
    </row>
    <row r="205" spans="1:13">
      <c r="A205" s="9" t="s">
        <v>1387</v>
      </c>
      <c r="B205" s="9" t="s">
        <v>300</v>
      </c>
      <c r="C205" s="9" t="s">
        <v>222</v>
      </c>
      <c r="D205" s="4" t="s">
        <v>1388</v>
      </c>
      <c r="E205" s="14" t="s">
        <v>1388</v>
      </c>
      <c r="F205" s="14" t="s">
        <v>1389</v>
      </c>
      <c r="G205" s="14" t="s">
        <v>1387</v>
      </c>
      <c r="H205" s="9" t="s">
        <v>2514</v>
      </c>
      <c r="I205" s="3">
        <v>0</v>
      </c>
      <c r="J205" s="3">
        <v>0</v>
      </c>
      <c r="K205" s="3">
        <f t="shared" si="8"/>
        <v>0</v>
      </c>
      <c r="L205" s="3">
        <f>IFERROR(INDEX('CHIRP Payment Calc'!K:K,MATCH(A:A,'CHIRP Payment Calc'!A:A,0)),0)</f>
        <v>0</v>
      </c>
      <c r="M205" s="3">
        <f t="shared" si="9"/>
        <v>0</v>
      </c>
    </row>
    <row r="206" spans="1:13">
      <c r="A206" s="9" t="s">
        <v>276</v>
      </c>
      <c r="B206" s="9" t="s">
        <v>300</v>
      </c>
      <c r="C206" s="9" t="s">
        <v>222</v>
      </c>
      <c r="D206" s="4" t="s">
        <v>277</v>
      </c>
      <c r="E206" s="14" t="s">
        <v>277</v>
      </c>
      <c r="F206" s="14" t="s">
        <v>278</v>
      </c>
      <c r="G206" s="14" t="s">
        <v>276</v>
      </c>
      <c r="H206" s="9" t="s">
        <v>2513</v>
      </c>
      <c r="I206" s="3">
        <v>10755952.091321182</v>
      </c>
      <c r="J206" s="3">
        <v>0</v>
      </c>
      <c r="K206" s="3">
        <f t="shared" si="8"/>
        <v>10755952.091321182</v>
      </c>
      <c r="L206" s="3">
        <f>IFERROR(INDEX('CHIRP Payment Calc'!K:K,MATCH(A:A,'CHIRP Payment Calc'!A:A,0)),0)</f>
        <v>11798924.163876073</v>
      </c>
      <c r="M206" s="3">
        <f t="shared" si="9"/>
        <v>-1042972.0725548919</v>
      </c>
    </row>
    <row r="207" spans="1:13">
      <c r="A207" s="9" t="s">
        <v>481</v>
      </c>
      <c r="B207" s="9" t="s">
        <v>300</v>
      </c>
      <c r="C207" s="9" t="s">
        <v>222</v>
      </c>
      <c r="D207" s="4" t="s">
        <v>482</v>
      </c>
      <c r="E207" s="14" t="s">
        <v>482</v>
      </c>
      <c r="F207" s="14" t="s">
        <v>483</v>
      </c>
      <c r="G207" s="14" t="s">
        <v>481</v>
      </c>
      <c r="H207" s="9" t="s">
        <v>2512</v>
      </c>
      <c r="I207" s="3">
        <v>0</v>
      </c>
      <c r="J207" s="3">
        <v>243613.50484655274</v>
      </c>
      <c r="K207" s="3">
        <f t="shared" si="8"/>
        <v>243613.50484655274</v>
      </c>
      <c r="L207" s="3">
        <f>IFERROR(INDEX('CHIRP Payment Calc'!K:K,MATCH(A:A,'CHIRP Payment Calc'!A:A,0)),0)</f>
        <v>0</v>
      </c>
      <c r="M207" s="3">
        <f t="shared" si="9"/>
        <v>243613.50484655274</v>
      </c>
    </row>
    <row r="208" spans="1:13">
      <c r="A208" s="9" t="s">
        <v>689</v>
      </c>
      <c r="B208" s="9" t="s">
        <v>300</v>
      </c>
      <c r="C208" s="9" t="s">
        <v>222</v>
      </c>
      <c r="D208" s="4" t="s">
        <v>690</v>
      </c>
      <c r="E208" s="14" t="s">
        <v>690</v>
      </c>
      <c r="F208" s="14" t="s">
        <v>691</v>
      </c>
      <c r="G208" s="14" t="s">
        <v>689</v>
      </c>
      <c r="H208" s="9" t="s">
        <v>2511</v>
      </c>
      <c r="I208" s="3">
        <v>2671752.8979548551</v>
      </c>
      <c r="J208" s="3">
        <v>1513977.7999439409</v>
      </c>
      <c r="K208" s="3">
        <f t="shared" si="8"/>
        <v>4185730.6978987958</v>
      </c>
      <c r="L208" s="3">
        <f>IFERROR(INDEX('CHIRP Payment Calc'!K:K,MATCH(A:A,'CHIRP Payment Calc'!A:A,0)),0)</f>
        <v>0</v>
      </c>
      <c r="M208" s="3">
        <f t="shared" si="9"/>
        <v>4185730.6978987958</v>
      </c>
    </row>
    <row r="209" spans="1:13">
      <c r="A209" s="9" t="s">
        <v>1569</v>
      </c>
      <c r="B209" s="9" t="s">
        <v>300</v>
      </c>
      <c r="C209" s="9" t="s">
        <v>222</v>
      </c>
      <c r="D209" s="4" t="s">
        <v>1278</v>
      </c>
      <c r="E209" s="14" t="s">
        <v>1278</v>
      </c>
      <c r="F209" s="14" t="s">
        <v>1279</v>
      </c>
      <c r="G209" s="14" t="s">
        <v>1569</v>
      </c>
      <c r="H209" s="9" t="s">
        <v>2510</v>
      </c>
      <c r="I209" s="3">
        <v>8881682.7941727787</v>
      </c>
      <c r="J209" s="3">
        <v>0</v>
      </c>
      <c r="K209" s="3">
        <f t="shared" si="8"/>
        <v>8881682.7941727787</v>
      </c>
      <c r="L209" s="3">
        <f>IFERROR(INDEX('CHIRP Payment Calc'!K:K,MATCH(A:A,'CHIRP Payment Calc'!A:A,0)),0)</f>
        <v>13271403.889528971</v>
      </c>
      <c r="M209" s="3">
        <f t="shared" si="9"/>
        <v>-4389721.0953561924</v>
      </c>
    </row>
    <row r="210" spans="1:13">
      <c r="A210" s="9" t="s">
        <v>240</v>
      </c>
      <c r="B210" s="9" t="s">
        <v>300</v>
      </c>
      <c r="C210" s="9" t="s">
        <v>222</v>
      </c>
      <c r="D210" s="4" t="s">
        <v>241</v>
      </c>
      <c r="E210" s="14" t="s">
        <v>241</v>
      </c>
      <c r="F210" s="14" t="s">
        <v>242</v>
      </c>
      <c r="G210" s="14" t="s">
        <v>240</v>
      </c>
      <c r="H210" s="9" t="s">
        <v>2509</v>
      </c>
      <c r="I210" s="3">
        <v>3454082.7031435887</v>
      </c>
      <c r="J210" s="3">
        <v>2387252.1755449562</v>
      </c>
      <c r="K210" s="3">
        <f t="shared" si="8"/>
        <v>5841334.878688545</v>
      </c>
      <c r="L210" s="3">
        <f>IFERROR(INDEX('CHIRP Payment Calc'!K:K,MATCH(A:A,'CHIRP Payment Calc'!A:A,0)),0)</f>
        <v>6938456.841442734</v>
      </c>
      <c r="M210" s="3">
        <f t="shared" si="9"/>
        <v>-1097121.962754189</v>
      </c>
    </row>
    <row r="211" spans="1:13">
      <c r="A211" s="9" t="s">
        <v>1316</v>
      </c>
      <c r="B211" s="9" t="s">
        <v>300</v>
      </c>
      <c r="C211" s="9" t="s">
        <v>222</v>
      </c>
      <c r="D211" s="4" t="s">
        <v>1317</v>
      </c>
      <c r="E211" s="14" t="s">
        <v>1317</v>
      </c>
      <c r="F211" s="14" t="s">
        <v>1318</v>
      </c>
      <c r="G211" s="14" t="s">
        <v>1316</v>
      </c>
      <c r="H211" s="9" t="s">
        <v>2508</v>
      </c>
      <c r="I211" s="3">
        <v>3333503.7373366142</v>
      </c>
      <c r="J211" s="3">
        <v>2305827.88233743</v>
      </c>
      <c r="K211" s="3">
        <f t="shared" si="8"/>
        <v>5639331.6196740437</v>
      </c>
      <c r="L211" s="3">
        <f>IFERROR(INDEX('CHIRP Payment Calc'!K:K,MATCH(A:A,'CHIRP Payment Calc'!A:A,0)),0)</f>
        <v>7146676.2375277653</v>
      </c>
      <c r="M211" s="3">
        <f t="shared" si="9"/>
        <v>-1507344.6178537216</v>
      </c>
    </row>
    <row r="212" spans="1:13">
      <c r="A212" s="9" t="s">
        <v>216</v>
      </c>
      <c r="B212" s="9" t="s">
        <v>300</v>
      </c>
      <c r="C212" s="9" t="s">
        <v>222</v>
      </c>
      <c r="D212" s="4" t="s">
        <v>217</v>
      </c>
      <c r="E212" s="14" t="s">
        <v>217</v>
      </c>
      <c r="F212" s="14" t="s">
        <v>218</v>
      </c>
      <c r="G212" s="14" t="s">
        <v>216</v>
      </c>
      <c r="H212" s="9" t="s">
        <v>2507</v>
      </c>
      <c r="I212" s="3">
        <v>0</v>
      </c>
      <c r="J212" s="3">
        <v>0</v>
      </c>
      <c r="K212" s="3">
        <f t="shared" si="8"/>
        <v>0</v>
      </c>
      <c r="L212" s="3">
        <f>IFERROR(INDEX('CHIRP Payment Calc'!K:K,MATCH(A:A,'CHIRP Payment Calc'!A:A,0)),0)</f>
        <v>0</v>
      </c>
      <c r="M212" s="3">
        <f t="shared" si="9"/>
        <v>0</v>
      </c>
    </row>
    <row r="213" spans="1:13">
      <c r="A213" s="9" t="s">
        <v>183</v>
      </c>
      <c r="B213" s="9" t="s">
        <v>300</v>
      </c>
      <c r="C213" s="9" t="s">
        <v>222</v>
      </c>
      <c r="D213" s="4" t="s">
        <v>184</v>
      </c>
      <c r="E213" s="14" t="s">
        <v>184</v>
      </c>
      <c r="F213" s="14" t="s">
        <v>185</v>
      </c>
      <c r="G213" s="14" t="s">
        <v>183</v>
      </c>
      <c r="H213" s="9" t="s">
        <v>2506</v>
      </c>
      <c r="I213" s="3">
        <v>3555624.139176771</v>
      </c>
      <c r="J213" s="3">
        <v>909856.95765149058</v>
      </c>
      <c r="K213" s="3">
        <f t="shared" si="8"/>
        <v>4465481.0968282614</v>
      </c>
      <c r="L213" s="3">
        <f>IFERROR(INDEX('CHIRP Payment Calc'!K:K,MATCH(A:A,'CHIRP Payment Calc'!A:A,0)),0)</f>
        <v>3895013.1920390725</v>
      </c>
      <c r="M213" s="3">
        <f t="shared" si="9"/>
        <v>570467.90478918888</v>
      </c>
    </row>
    <row r="214" spans="1:13">
      <c r="A214" s="9" t="s">
        <v>563</v>
      </c>
      <c r="B214" s="9" t="s">
        <v>300</v>
      </c>
      <c r="C214" s="9" t="s">
        <v>222</v>
      </c>
      <c r="D214" s="4" t="s">
        <v>564</v>
      </c>
      <c r="E214" s="14" t="s">
        <v>564</v>
      </c>
      <c r="F214" s="14" t="s">
        <v>565</v>
      </c>
      <c r="G214" s="14" t="s">
        <v>563</v>
      </c>
      <c r="H214" s="9" t="s">
        <v>2505</v>
      </c>
      <c r="I214" s="3">
        <v>9061851.7920339108</v>
      </c>
      <c r="J214" s="3">
        <v>4990602.1781760724</v>
      </c>
      <c r="K214" s="3">
        <f t="shared" si="8"/>
        <v>14052453.970209982</v>
      </c>
      <c r="L214" s="3">
        <f>IFERROR(INDEX('CHIRP Payment Calc'!K:K,MATCH(A:A,'CHIRP Payment Calc'!A:A,0)),0)</f>
        <v>11221152.899709266</v>
      </c>
      <c r="M214" s="3">
        <f t="shared" si="9"/>
        <v>2831301.0705007166</v>
      </c>
    </row>
    <row r="215" spans="1:13">
      <c r="A215" s="9" t="s">
        <v>1390</v>
      </c>
      <c r="B215" s="9" t="s">
        <v>300</v>
      </c>
      <c r="C215" s="9" t="s">
        <v>222</v>
      </c>
      <c r="D215" s="4" t="s">
        <v>1391</v>
      </c>
      <c r="E215" s="14" t="s">
        <v>1391</v>
      </c>
      <c r="F215" s="14" t="s">
        <v>1392</v>
      </c>
      <c r="G215" s="14" t="s">
        <v>1390</v>
      </c>
      <c r="H215" s="9" t="s">
        <v>2504</v>
      </c>
      <c r="I215" s="3">
        <v>0</v>
      </c>
      <c r="J215" s="3">
        <v>0</v>
      </c>
      <c r="K215" s="3">
        <f t="shared" si="8"/>
        <v>0</v>
      </c>
      <c r="L215" s="3">
        <f>IFERROR(INDEX('CHIRP Payment Calc'!K:K,MATCH(A:A,'CHIRP Payment Calc'!A:A,0)),0)</f>
        <v>0</v>
      </c>
      <c r="M215" s="3">
        <f t="shared" si="9"/>
        <v>0</v>
      </c>
    </row>
    <row r="216" spans="1:13">
      <c r="A216" s="9" t="s">
        <v>647</v>
      </c>
      <c r="B216" s="9" t="s">
        <v>300</v>
      </c>
      <c r="C216" s="9" t="s">
        <v>222</v>
      </c>
      <c r="D216" s="4" t="s">
        <v>648</v>
      </c>
      <c r="E216" s="14" t="s">
        <v>648</v>
      </c>
      <c r="F216" s="14" t="s">
        <v>649</v>
      </c>
      <c r="G216" s="14" t="s">
        <v>647</v>
      </c>
      <c r="H216" s="9" t="s">
        <v>2503</v>
      </c>
      <c r="I216" s="3">
        <v>1980304.2455496946</v>
      </c>
      <c r="J216" s="3">
        <v>1095195.5316232801</v>
      </c>
      <c r="K216" s="3">
        <f t="shared" si="8"/>
        <v>3075499.7771729748</v>
      </c>
      <c r="L216" s="3">
        <f>IFERROR(INDEX('CHIRP Payment Calc'!K:K,MATCH(A:A,'CHIRP Payment Calc'!A:A,0)),0)</f>
        <v>2457203.8932947805</v>
      </c>
      <c r="M216" s="3">
        <f t="shared" si="9"/>
        <v>618295.88387819426</v>
      </c>
    </row>
    <row r="217" spans="1:13">
      <c r="A217" s="9" t="s">
        <v>835</v>
      </c>
      <c r="B217" s="9" t="s">
        <v>300</v>
      </c>
      <c r="C217" s="9" t="s">
        <v>222</v>
      </c>
      <c r="D217" s="4" t="s">
        <v>836</v>
      </c>
      <c r="E217" s="14" t="s">
        <v>836</v>
      </c>
      <c r="F217" s="14" t="s">
        <v>837</v>
      </c>
      <c r="G217" s="14" t="s">
        <v>835</v>
      </c>
      <c r="H217" s="9" t="s">
        <v>2502</v>
      </c>
      <c r="I217" s="3">
        <v>103062258.74855186</v>
      </c>
      <c r="J217" s="3">
        <v>26891498.769425526</v>
      </c>
      <c r="K217" s="3">
        <f t="shared" si="8"/>
        <v>129953757.51797739</v>
      </c>
      <c r="L217" s="3">
        <f>IFERROR(INDEX('CHIRP Payment Calc'!K:K,MATCH(A:A,'CHIRP Payment Calc'!A:A,0)),0)</f>
        <v>129317385.3338581</v>
      </c>
      <c r="M217" s="3">
        <f t="shared" si="9"/>
        <v>636372.18411928415</v>
      </c>
    </row>
    <row r="218" spans="1:13">
      <c r="A218" s="9" t="s">
        <v>123</v>
      </c>
      <c r="B218" s="9" t="s">
        <v>300</v>
      </c>
      <c r="C218" s="9" t="s">
        <v>1481</v>
      </c>
      <c r="D218" s="4" t="s">
        <v>124</v>
      </c>
      <c r="E218" s="14" t="s">
        <v>124</v>
      </c>
      <c r="F218" s="14" t="s">
        <v>125</v>
      </c>
      <c r="G218" s="14" t="s">
        <v>123</v>
      </c>
      <c r="H218" s="9" t="s">
        <v>2501</v>
      </c>
      <c r="I218" s="3">
        <v>767728.50861974922</v>
      </c>
      <c r="J218" s="3">
        <v>271210.42735256476</v>
      </c>
      <c r="K218" s="3">
        <f t="shared" si="8"/>
        <v>1038938.935972314</v>
      </c>
      <c r="L218" s="3">
        <f>IFERROR(INDEX('CHIRP Payment Calc'!K:K,MATCH(A:A,'CHIRP Payment Calc'!A:A,0)),0)</f>
        <v>921050.73551685107</v>
      </c>
      <c r="M218" s="3">
        <f t="shared" si="9"/>
        <v>117888.20045546291</v>
      </c>
    </row>
    <row r="219" spans="1:13">
      <c r="A219" s="9" t="s">
        <v>530</v>
      </c>
      <c r="B219" s="9" t="s">
        <v>300</v>
      </c>
      <c r="C219" s="9" t="s">
        <v>1481</v>
      </c>
      <c r="D219" s="4" t="s">
        <v>531</v>
      </c>
      <c r="E219" s="14" t="s">
        <v>531</v>
      </c>
      <c r="F219" s="14" t="s">
        <v>532</v>
      </c>
      <c r="G219" s="14" t="s">
        <v>530</v>
      </c>
      <c r="H219" s="9" t="s">
        <v>2500</v>
      </c>
      <c r="I219" s="3">
        <v>245744.83954993339</v>
      </c>
      <c r="J219" s="3">
        <v>80797.337641081991</v>
      </c>
      <c r="K219" s="3">
        <f t="shared" si="8"/>
        <v>326542.17719101539</v>
      </c>
      <c r="L219" s="3">
        <f>IFERROR(INDEX('CHIRP Payment Calc'!K:K,MATCH(A:A,'CHIRP Payment Calc'!A:A,0)),0)</f>
        <v>0</v>
      </c>
      <c r="M219" s="3">
        <f t="shared" si="9"/>
        <v>326542.17719101539</v>
      </c>
    </row>
    <row r="220" spans="1:13">
      <c r="A220" s="9" t="s">
        <v>953</v>
      </c>
      <c r="B220" s="9" t="s">
        <v>300</v>
      </c>
      <c r="C220" s="9" t="s">
        <v>1481</v>
      </c>
      <c r="D220" s="4" t="s">
        <v>954</v>
      </c>
      <c r="E220" s="14" t="s">
        <v>954</v>
      </c>
      <c r="F220" s="14" t="s">
        <v>955</v>
      </c>
      <c r="G220" s="14" t="s">
        <v>953</v>
      </c>
      <c r="H220" s="9" t="s">
        <v>1799</v>
      </c>
      <c r="I220" s="3">
        <v>124506.91232233048</v>
      </c>
      <c r="J220" s="3">
        <v>38456.452481902539</v>
      </c>
      <c r="K220" s="3">
        <f t="shared" si="8"/>
        <v>162963.36480423302</v>
      </c>
      <c r="L220" s="3">
        <f>IFERROR(INDEX('CHIRP Payment Calc'!K:K,MATCH(A:A,'CHIRP Payment Calc'!A:A,0)),0)</f>
        <v>0</v>
      </c>
      <c r="M220" s="3">
        <f t="shared" si="9"/>
        <v>162963.36480423302</v>
      </c>
    </row>
    <row r="221" spans="1:13">
      <c r="A221" s="9" t="s">
        <v>1072</v>
      </c>
      <c r="B221" s="9" t="s">
        <v>300</v>
      </c>
      <c r="C221" s="9" t="s">
        <v>1550</v>
      </c>
      <c r="D221" s="4" t="s">
        <v>1073</v>
      </c>
      <c r="E221" s="14" t="s">
        <v>1073</v>
      </c>
      <c r="F221" s="14" t="s">
        <v>1074</v>
      </c>
      <c r="G221" s="14" t="s">
        <v>1072</v>
      </c>
      <c r="H221" s="9" t="s">
        <v>1677</v>
      </c>
      <c r="I221" s="3">
        <v>397211.11106598499</v>
      </c>
      <c r="J221" s="3">
        <v>415291.3331832267</v>
      </c>
      <c r="K221" s="3">
        <f t="shared" si="8"/>
        <v>812502.44424921169</v>
      </c>
      <c r="L221" s="3">
        <f>IFERROR(INDEX('CHIRP Payment Calc'!K:K,MATCH(A:A,'CHIRP Payment Calc'!A:A,0)),0)</f>
        <v>838475.81720477552</v>
      </c>
      <c r="M221" s="3">
        <f t="shared" si="9"/>
        <v>-25973.372955563827</v>
      </c>
    </row>
    <row r="222" spans="1:13">
      <c r="A222" s="9" t="s">
        <v>822</v>
      </c>
      <c r="B222" s="9" t="s">
        <v>300</v>
      </c>
      <c r="C222" s="9" t="s">
        <v>1550</v>
      </c>
      <c r="D222" s="4" t="s">
        <v>823</v>
      </c>
      <c r="E222" s="14" t="s">
        <v>823</v>
      </c>
      <c r="F222" s="14" t="s">
        <v>824</v>
      </c>
      <c r="G222" s="14" t="s">
        <v>822</v>
      </c>
      <c r="H222" s="9" t="s">
        <v>2499</v>
      </c>
      <c r="I222" s="3">
        <v>3276063.5548169687</v>
      </c>
      <c r="J222" s="3">
        <v>1208784.8161505638</v>
      </c>
      <c r="K222" s="3">
        <f t="shared" si="8"/>
        <v>4484848.3709675325</v>
      </c>
      <c r="L222" s="3">
        <f>IFERROR(INDEX('CHIRP Payment Calc'!K:K,MATCH(A:A,'CHIRP Payment Calc'!A:A,0)),0)</f>
        <v>4253292.9111728892</v>
      </c>
      <c r="M222" s="3">
        <f t="shared" si="9"/>
        <v>231555.45979464334</v>
      </c>
    </row>
    <row r="223" spans="1:13">
      <c r="A223" s="9" t="s">
        <v>738</v>
      </c>
      <c r="B223" s="9" t="s">
        <v>300</v>
      </c>
      <c r="C223" s="9" t="s">
        <v>1559</v>
      </c>
      <c r="D223" s="4" t="s">
        <v>739</v>
      </c>
      <c r="E223" s="14" t="s">
        <v>739</v>
      </c>
      <c r="F223" s="14" t="s">
        <v>740</v>
      </c>
      <c r="G223" s="14" t="s">
        <v>738</v>
      </c>
      <c r="H223" s="9" t="s">
        <v>1956</v>
      </c>
      <c r="I223" s="3">
        <v>17679471.934180588</v>
      </c>
      <c r="J223" s="3">
        <v>28922171.817361128</v>
      </c>
      <c r="K223" s="3">
        <f t="shared" si="8"/>
        <v>46601643.751541719</v>
      </c>
      <c r="L223" s="3">
        <f>IFERROR(INDEX('CHIRP Payment Calc'!K:K,MATCH(A:A,'CHIRP Payment Calc'!A:A,0)),0)</f>
        <v>25201866.064493183</v>
      </c>
      <c r="M223" s="3">
        <f t="shared" si="9"/>
        <v>21399777.687048536</v>
      </c>
    </row>
    <row r="224" spans="1:13">
      <c r="A224" s="9" t="s">
        <v>1331</v>
      </c>
      <c r="B224" s="9" t="s">
        <v>1517</v>
      </c>
      <c r="C224" s="9" t="s">
        <v>2236</v>
      </c>
      <c r="D224" s="4" t="s">
        <v>1332</v>
      </c>
      <c r="E224" s="14" t="s">
        <v>1332</v>
      </c>
      <c r="F224" s="14" t="s">
        <v>1333</v>
      </c>
      <c r="G224" s="14" t="s">
        <v>1331</v>
      </c>
      <c r="H224" s="9" t="s">
        <v>2498</v>
      </c>
      <c r="I224" s="3">
        <v>1920257.9789250519</v>
      </c>
      <c r="J224" s="3">
        <v>0</v>
      </c>
      <c r="K224" s="3">
        <f t="shared" si="8"/>
        <v>1920257.9789250519</v>
      </c>
      <c r="L224" s="3">
        <f>IFERROR(INDEX('CHIRP Payment Calc'!K:K,MATCH(A:A,'CHIRP Payment Calc'!A:A,0)),0)</f>
        <v>1593072.8598933686</v>
      </c>
      <c r="M224" s="3">
        <f t="shared" si="9"/>
        <v>327185.11903168331</v>
      </c>
    </row>
    <row r="225" spans="1:13">
      <c r="A225" s="9" t="s">
        <v>2131</v>
      </c>
      <c r="C225" s="9" t="s">
        <v>222</v>
      </c>
      <c r="D225" s="4" t="s">
        <v>2132</v>
      </c>
      <c r="E225" s="14" t="s">
        <v>2132</v>
      </c>
      <c r="F225" s="14" t="e">
        <v>#N/A</v>
      </c>
      <c r="G225" s="14" t="s">
        <v>2131</v>
      </c>
      <c r="H225" s="9" t="s">
        <v>2130</v>
      </c>
      <c r="I225" s="3">
        <v>0</v>
      </c>
      <c r="J225" s="3">
        <v>104.03253134809725</v>
      </c>
      <c r="K225" s="3">
        <f t="shared" si="8"/>
        <v>104.03253134809725</v>
      </c>
      <c r="L225" s="3">
        <f>IFERROR(INDEX('CHIRP Payment Calc'!K:K,MATCH(A:A,'CHIRP Payment Calc'!A:A,0)),0)</f>
        <v>0</v>
      </c>
      <c r="M225" s="3">
        <f t="shared" si="9"/>
        <v>104.03253134809725</v>
      </c>
    </row>
    <row r="226" spans="1:13">
      <c r="A226" s="9" t="s">
        <v>644</v>
      </c>
      <c r="B226" s="9" t="s">
        <v>1517</v>
      </c>
      <c r="C226" s="9" t="s">
        <v>222</v>
      </c>
      <c r="D226" s="4" t="s">
        <v>645</v>
      </c>
      <c r="E226" s="14" t="s">
        <v>645</v>
      </c>
      <c r="F226" s="14" t="s">
        <v>646</v>
      </c>
      <c r="G226" s="14" t="s">
        <v>644</v>
      </c>
      <c r="H226" s="9" t="s">
        <v>2494</v>
      </c>
      <c r="I226" s="3">
        <v>10202499.404488385</v>
      </c>
      <c r="J226" s="3">
        <v>2567145.5054468708</v>
      </c>
      <c r="K226" s="3">
        <f t="shared" si="8"/>
        <v>12769644.909935255</v>
      </c>
      <c r="L226" s="3">
        <f>IFERROR(INDEX('CHIRP Payment Calc'!K:K,MATCH(A:A,'CHIRP Payment Calc'!A:A,0)),0)</f>
        <v>7724795.6643446321</v>
      </c>
      <c r="M226" s="3">
        <f t="shared" si="9"/>
        <v>5044849.2455906225</v>
      </c>
    </row>
    <row r="227" spans="1:13">
      <c r="A227" s="9" t="s">
        <v>1319</v>
      </c>
      <c r="B227" s="9" t="s">
        <v>1517</v>
      </c>
      <c r="C227" s="9" t="s">
        <v>222</v>
      </c>
      <c r="D227" s="4" t="s">
        <v>1320</v>
      </c>
      <c r="E227" s="14" t="s">
        <v>1320</v>
      </c>
      <c r="F227" s="14" t="s">
        <v>1321</v>
      </c>
      <c r="G227" s="14" t="s">
        <v>1319</v>
      </c>
      <c r="H227" s="9" t="s">
        <v>2493</v>
      </c>
      <c r="I227" s="3">
        <v>50717711.776930489</v>
      </c>
      <c r="J227" s="3">
        <v>13218019.742867328</v>
      </c>
      <c r="K227" s="3">
        <f t="shared" si="8"/>
        <v>63935731.519797817</v>
      </c>
      <c r="L227" s="3">
        <f>IFERROR(INDEX('CHIRP Payment Calc'!K:K,MATCH(A:A,'CHIRP Payment Calc'!A:A,0)),0)</f>
        <v>58589485.96709206</v>
      </c>
      <c r="M227" s="3">
        <f t="shared" si="9"/>
        <v>5346245.5527057573</v>
      </c>
    </row>
    <row r="228" spans="1:13">
      <c r="A228" s="9" t="s">
        <v>1511</v>
      </c>
      <c r="B228" s="9" t="s">
        <v>1517</v>
      </c>
      <c r="C228" s="9" t="s">
        <v>222</v>
      </c>
      <c r="D228" s="4" t="s">
        <v>1512</v>
      </c>
      <c r="E228" s="14" t="s">
        <v>1512</v>
      </c>
      <c r="F228" s="14" t="s">
        <v>1513</v>
      </c>
      <c r="G228" s="14" t="s">
        <v>1511</v>
      </c>
      <c r="H228" s="9" t="s">
        <v>2492</v>
      </c>
      <c r="I228" s="3">
        <v>60437.491062900655</v>
      </c>
      <c r="J228" s="3">
        <v>244240.71576997516</v>
      </c>
      <c r="K228" s="3">
        <f t="shared" si="8"/>
        <v>304678.20683287579</v>
      </c>
      <c r="L228" s="3">
        <f>IFERROR(INDEX('CHIRP Payment Calc'!K:K,MATCH(A:A,'CHIRP Payment Calc'!A:A,0)),0)</f>
        <v>0</v>
      </c>
      <c r="M228" s="3">
        <f t="shared" si="9"/>
        <v>304678.20683287579</v>
      </c>
    </row>
    <row r="229" spans="1:13">
      <c r="A229" s="9" t="s">
        <v>1370</v>
      </c>
      <c r="B229" s="9" t="s">
        <v>1517</v>
      </c>
      <c r="C229" s="9" t="s">
        <v>222</v>
      </c>
      <c r="D229" s="4" t="s">
        <v>1371</v>
      </c>
      <c r="E229" s="14" t="s">
        <v>1371</v>
      </c>
      <c r="F229" s="14" t="s">
        <v>1372</v>
      </c>
      <c r="G229" s="14" t="s">
        <v>1370</v>
      </c>
      <c r="H229" s="9" t="s">
        <v>2187</v>
      </c>
      <c r="I229" s="3">
        <v>15927554.372090233</v>
      </c>
      <c r="J229" s="3">
        <v>7162040.4568082877</v>
      </c>
      <c r="K229" s="3">
        <f t="shared" si="8"/>
        <v>23089594.828898519</v>
      </c>
      <c r="L229" s="3">
        <f>IFERROR(INDEX('CHIRP Payment Calc'!K:K,MATCH(A:A,'CHIRP Payment Calc'!A:A,0)),0)</f>
        <v>23512967.068151005</v>
      </c>
      <c r="M229" s="3">
        <f t="shared" si="9"/>
        <v>-423372.23925248533</v>
      </c>
    </row>
    <row r="230" spans="1:13">
      <c r="A230" s="9" t="s">
        <v>1158</v>
      </c>
      <c r="B230" s="9" t="s">
        <v>1517</v>
      </c>
      <c r="C230" s="9" t="s">
        <v>222</v>
      </c>
      <c r="D230" s="4" t="s">
        <v>1159</v>
      </c>
      <c r="E230" s="14" t="s">
        <v>1159</v>
      </c>
      <c r="F230" s="14" t="s">
        <v>1160</v>
      </c>
      <c r="G230" s="14" t="s">
        <v>1158</v>
      </c>
      <c r="H230" s="9" t="s">
        <v>2491</v>
      </c>
      <c r="I230" s="3">
        <v>9759543.8405791782</v>
      </c>
      <c r="J230" s="3">
        <v>3871947.7889704658</v>
      </c>
      <c r="K230" s="3">
        <f t="shared" si="8"/>
        <v>13631491.629549645</v>
      </c>
      <c r="L230" s="3">
        <f>IFERROR(INDEX('CHIRP Payment Calc'!K:K,MATCH(A:A,'CHIRP Payment Calc'!A:A,0)),0)</f>
        <v>13829125.632114531</v>
      </c>
      <c r="M230" s="3">
        <f t="shared" si="9"/>
        <v>-197634.00256488658</v>
      </c>
    </row>
    <row r="231" spans="1:13">
      <c r="A231" s="9" t="s">
        <v>590</v>
      </c>
      <c r="B231" s="9" t="s">
        <v>1517</v>
      </c>
      <c r="C231" s="9" t="s">
        <v>222</v>
      </c>
      <c r="D231" s="4" t="s">
        <v>591</v>
      </c>
      <c r="E231" s="14" t="s">
        <v>591</v>
      </c>
      <c r="F231" s="14" t="s">
        <v>592</v>
      </c>
      <c r="G231" s="14" t="s">
        <v>590</v>
      </c>
      <c r="H231" s="9" t="s">
        <v>2490</v>
      </c>
      <c r="I231" s="3">
        <v>9464620.1213527117</v>
      </c>
      <c r="J231" s="3">
        <v>2365052.2823093138</v>
      </c>
      <c r="K231" s="3">
        <f t="shared" si="8"/>
        <v>11829672.403662026</v>
      </c>
      <c r="L231" s="3">
        <f>IFERROR(INDEX('CHIRP Payment Calc'!K:K,MATCH(A:A,'CHIRP Payment Calc'!A:A,0)),0)</f>
        <v>7694669.329252624</v>
      </c>
      <c r="M231" s="3">
        <f t="shared" si="9"/>
        <v>4135003.074409402</v>
      </c>
    </row>
    <row r="232" spans="1:13">
      <c r="A232" s="9" t="s">
        <v>231</v>
      </c>
      <c r="B232" s="9" t="s">
        <v>1517</v>
      </c>
      <c r="C232" s="9" t="s">
        <v>222</v>
      </c>
      <c r="D232" s="4" t="s">
        <v>232</v>
      </c>
      <c r="E232" s="14" t="s">
        <v>232</v>
      </c>
      <c r="F232" s="14" t="s">
        <v>233</v>
      </c>
      <c r="G232" s="14" t="s">
        <v>231</v>
      </c>
      <c r="H232" s="9" t="s">
        <v>2489</v>
      </c>
      <c r="I232" s="3">
        <v>0</v>
      </c>
      <c r="J232" s="3">
        <v>0</v>
      </c>
      <c r="K232" s="3">
        <f t="shared" si="8"/>
        <v>0</v>
      </c>
      <c r="L232" s="3">
        <f>IFERROR(INDEX('CHIRP Payment Calc'!K:K,MATCH(A:A,'CHIRP Payment Calc'!A:A,0)),0)</f>
        <v>0</v>
      </c>
      <c r="M232" s="3">
        <f t="shared" si="9"/>
        <v>0</v>
      </c>
    </row>
    <row r="233" spans="1:13">
      <c r="A233" s="9" t="s">
        <v>662</v>
      </c>
      <c r="B233" s="9" t="s">
        <v>1517</v>
      </c>
      <c r="C233" s="9" t="s">
        <v>222</v>
      </c>
      <c r="D233" s="4" t="s">
        <v>663</v>
      </c>
      <c r="E233" s="14" t="s">
        <v>663</v>
      </c>
      <c r="F233" s="14" t="s">
        <v>664</v>
      </c>
      <c r="G233" s="14" t="s">
        <v>662</v>
      </c>
      <c r="H233" s="9" t="s">
        <v>2036</v>
      </c>
      <c r="I233" s="3">
        <v>378868.18253344577</v>
      </c>
      <c r="J233" s="3">
        <v>219097.36353693725</v>
      </c>
      <c r="K233" s="3">
        <f t="shared" si="8"/>
        <v>597965.54607038305</v>
      </c>
      <c r="L233" s="3">
        <f>IFERROR(INDEX('CHIRP Payment Calc'!K:K,MATCH(A:A,'CHIRP Payment Calc'!A:A,0)),0)</f>
        <v>342060.39496159891</v>
      </c>
      <c r="M233" s="3">
        <f t="shared" si="9"/>
        <v>255905.15110878414</v>
      </c>
    </row>
    <row r="234" spans="1:13">
      <c r="A234" s="9" t="s">
        <v>792</v>
      </c>
      <c r="B234" s="9" t="s">
        <v>1517</v>
      </c>
      <c r="C234" s="9" t="s">
        <v>222</v>
      </c>
      <c r="D234" s="4" t="s">
        <v>793</v>
      </c>
      <c r="E234" s="14" t="s">
        <v>793</v>
      </c>
      <c r="F234" s="14" t="s">
        <v>794</v>
      </c>
      <c r="G234" s="14" t="s">
        <v>792</v>
      </c>
      <c r="H234" s="9" t="s">
        <v>2488</v>
      </c>
      <c r="I234" s="3">
        <v>11375816.186112061</v>
      </c>
      <c r="J234" s="3">
        <v>2957112.9111658707</v>
      </c>
      <c r="K234" s="3">
        <f t="shared" si="8"/>
        <v>14332929.097277932</v>
      </c>
      <c r="L234" s="3">
        <f>IFERROR(INDEX('CHIRP Payment Calc'!K:K,MATCH(A:A,'CHIRP Payment Calc'!A:A,0)),0)</f>
        <v>11506627.131536717</v>
      </c>
      <c r="M234" s="3">
        <f t="shared" si="9"/>
        <v>2826301.9657412153</v>
      </c>
    </row>
    <row r="235" spans="1:13">
      <c r="A235" s="9" t="s">
        <v>1547</v>
      </c>
      <c r="B235" s="9" t="s">
        <v>1517</v>
      </c>
      <c r="C235" s="9" t="s">
        <v>222</v>
      </c>
      <c r="D235" s="4" t="s">
        <v>1548</v>
      </c>
      <c r="E235" s="14" t="s">
        <v>1548</v>
      </c>
      <c r="F235" s="14" t="s">
        <v>1549</v>
      </c>
      <c r="G235" s="14" t="s">
        <v>1547</v>
      </c>
      <c r="H235" s="9" t="s">
        <v>2487</v>
      </c>
      <c r="I235" s="3">
        <v>0</v>
      </c>
      <c r="J235" s="3">
        <v>8990.686169760409</v>
      </c>
      <c r="K235" s="3">
        <f t="shared" si="8"/>
        <v>8990.686169760409</v>
      </c>
      <c r="L235" s="3">
        <f>IFERROR(INDEX('CHIRP Payment Calc'!K:K,MATCH(A:A,'CHIRP Payment Calc'!A:A,0)),0)</f>
        <v>0</v>
      </c>
      <c r="M235" s="3">
        <f t="shared" si="9"/>
        <v>8990.686169760409</v>
      </c>
    </row>
    <row r="236" spans="1:13">
      <c r="A236" s="9" t="s">
        <v>789</v>
      </c>
      <c r="B236" s="9" t="s">
        <v>1517</v>
      </c>
      <c r="C236" s="9" t="s">
        <v>222</v>
      </c>
      <c r="D236" s="4" t="s">
        <v>790</v>
      </c>
      <c r="E236" s="14" t="s">
        <v>790</v>
      </c>
      <c r="F236" s="14" t="s">
        <v>791</v>
      </c>
      <c r="G236" s="14" t="s">
        <v>789</v>
      </c>
      <c r="H236" s="9" t="s">
        <v>1898</v>
      </c>
      <c r="I236" s="3">
        <v>11522254.554969426</v>
      </c>
      <c r="J236" s="3">
        <v>5703610.7366879787</v>
      </c>
      <c r="K236" s="3">
        <f t="shared" si="8"/>
        <v>17225865.291657403</v>
      </c>
      <c r="L236" s="3">
        <f>IFERROR(INDEX('CHIRP Payment Calc'!K:K,MATCH(A:A,'CHIRP Payment Calc'!A:A,0)),0)</f>
        <v>15318888.179661091</v>
      </c>
      <c r="M236" s="3">
        <f t="shared" si="9"/>
        <v>1906977.1119963117</v>
      </c>
    </row>
    <row r="237" spans="1:13">
      <c r="A237" s="9" t="s">
        <v>401</v>
      </c>
      <c r="B237" s="9" t="s">
        <v>1517</v>
      </c>
      <c r="C237" s="9" t="s">
        <v>222</v>
      </c>
      <c r="D237" s="4" t="s">
        <v>402</v>
      </c>
      <c r="E237" s="14" t="s">
        <v>402</v>
      </c>
      <c r="F237" s="14" t="s">
        <v>403</v>
      </c>
      <c r="G237" s="14" t="s">
        <v>401</v>
      </c>
      <c r="H237" s="9" t="s">
        <v>2486</v>
      </c>
      <c r="I237" s="3">
        <v>0</v>
      </c>
      <c r="J237" s="3">
        <v>0</v>
      </c>
      <c r="K237" s="3">
        <f t="shared" si="8"/>
        <v>0</v>
      </c>
      <c r="L237" s="3">
        <f>IFERROR(INDEX('CHIRP Payment Calc'!K:K,MATCH(A:A,'CHIRP Payment Calc'!A:A,0)),0)</f>
        <v>0</v>
      </c>
      <c r="M237" s="3">
        <f t="shared" si="9"/>
        <v>0</v>
      </c>
    </row>
    <row r="238" spans="1:13">
      <c r="A238" s="9" t="s">
        <v>641</v>
      </c>
      <c r="B238" s="9" t="s">
        <v>1517</v>
      </c>
      <c r="C238" s="9" t="s">
        <v>222</v>
      </c>
      <c r="D238" s="4" t="s">
        <v>642</v>
      </c>
      <c r="E238" s="14" t="s">
        <v>642</v>
      </c>
      <c r="F238" s="14" t="s">
        <v>643</v>
      </c>
      <c r="G238" s="14" t="s">
        <v>641</v>
      </c>
      <c r="H238" s="9" t="s">
        <v>2485</v>
      </c>
      <c r="I238" s="3">
        <v>16908261.350439269</v>
      </c>
      <c r="J238" s="3">
        <v>3705384.6189447083</v>
      </c>
      <c r="K238" s="3">
        <f t="shared" si="8"/>
        <v>20613645.969383977</v>
      </c>
      <c r="L238" s="3">
        <f>IFERROR(INDEX('CHIRP Payment Calc'!K:K,MATCH(A:A,'CHIRP Payment Calc'!A:A,0)),0)</f>
        <v>15505306.054383636</v>
      </c>
      <c r="M238" s="3">
        <f t="shared" si="9"/>
        <v>5108339.9150003418</v>
      </c>
    </row>
    <row r="239" spans="1:13">
      <c r="A239" s="9" t="s">
        <v>2483</v>
      </c>
      <c r="B239" s="9" t="s">
        <v>1517</v>
      </c>
      <c r="C239" s="9" t="s">
        <v>222</v>
      </c>
      <c r="D239" s="4" t="s">
        <v>2484</v>
      </c>
      <c r="E239" s="14" t="s">
        <v>2484</v>
      </c>
      <c r="F239" s="14" t="e">
        <v>#N/A</v>
      </c>
      <c r="G239" s="14" t="s">
        <v>2483</v>
      </c>
      <c r="H239" s="9" t="s">
        <v>2482</v>
      </c>
      <c r="I239" s="3">
        <v>0</v>
      </c>
      <c r="J239" s="3">
        <v>0</v>
      </c>
      <c r="K239" s="3">
        <f t="shared" si="8"/>
        <v>0</v>
      </c>
      <c r="L239" s="3">
        <f>IFERROR(INDEX('CHIRP Payment Calc'!K:K,MATCH(A:A,'CHIRP Payment Calc'!A:A,0)),0)</f>
        <v>0</v>
      </c>
      <c r="M239" s="3">
        <f t="shared" si="9"/>
        <v>0</v>
      </c>
    </row>
    <row r="240" spans="1:13">
      <c r="A240" s="9" t="s">
        <v>1470</v>
      </c>
      <c r="B240" s="9" t="s">
        <v>1517</v>
      </c>
      <c r="C240" s="9" t="s">
        <v>222</v>
      </c>
      <c r="D240" s="4" t="s">
        <v>1471</v>
      </c>
      <c r="E240" s="14" t="s">
        <v>1471</v>
      </c>
      <c r="F240" s="14" t="s">
        <v>1472</v>
      </c>
      <c r="G240" s="14" t="s">
        <v>1470</v>
      </c>
      <c r="H240" s="9" t="s">
        <v>2481</v>
      </c>
      <c r="I240" s="3">
        <v>0</v>
      </c>
      <c r="J240" s="3">
        <v>0</v>
      </c>
      <c r="K240" s="3">
        <f t="shared" si="8"/>
        <v>0</v>
      </c>
      <c r="L240" s="3">
        <f>IFERROR(INDEX('CHIRP Payment Calc'!K:K,MATCH(A:A,'CHIRP Payment Calc'!A:A,0)),0)</f>
        <v>0</v>
      </c>
      <c r="M240" s="3">
        <f t="shared" si="9"/>
        <v>0</v>
      </c>
    </row>
    <row r="241" spans="1:13">
      <c r="A241" s="9" t="s">
        <v>581</v>
      </c>
      <c r="B241" s="9" t="s">
        <v>1517</v>
      </c>
      <c r="C241" s="9" t="s">
        <v>222</v>
      </c>
      <c r="D241" s="4" t="s">
        <v>582</v>
      </c>
      <c r="E241" s="14" t="s">
        <v>582</v>
      </c>
      <c r="F241" s="14" t="s">
        <v>583</v>
      </c>
      <c r="G241" s="14" t="s">
        <v>581</v>
      </c>
      <c r="H241" s="9" t="s">
        <v>2480</v>
      </c>
      <c r="I241" s="3">
        <v>0</v>
      </c>
      <c r="J241" s="3">
        <v>0</v>
      </c>
      <c r="K241" s="3">
        <f t="shared" si="8"/>
        <v>0</v>
      </c>
      <c r="L241" s="3">
        <f>IFERROR(INDEX('CHIRP Payment Calc'!K:K,MATCH(A:A,'CHIRP Payment Calc'!A:A,0)),0)</f>
        <v>0</v>
      </c>
      <c r="M241" s="3">
        <f t="shared" si="9"/>
        <v>0</v>
      </c>
    </row>
    <row r="242" spans="1:13">
      <c r="A242" s="9" t="s">
        <v>1556</v>
      </c>
      <c r="B242" s="9" t="s">
        <v>1517</v>
      </c>
      <c r="C242" s="9" t="s">
        <v>222</v>
      </c>
      <c r="D242" s="4" t="s">
        <v>1709</v>
      </c>
      <c r="E242" s="14" t="s">
        <v>1709</v>
      </c>
      <c r="F242" s="14" t="s">
        <v>446</v>
      </c>
      <c r="G242" s="14" t="s">
        <v>1556</v>
      </c>
      <c r="H242" s="9" t="s">
        <v>1707</v>
      </c>
      <c r="I242" s="3">
        <v>29488558.221703362</v>
      </c>
      <c r="J242" s="3">
        <v>7148010.3231121683</v>
      </c>
      <c r="K242" s="3">
        <f t="shared" si="8"/>
        <v>36636568.544815533</v>
      </c>
      <c r="L242" s="3">
        <f>IFERROR(INDEX('CHIRP Payment Calc'!K:K,MATCH(A:A,'CHIRP Payment Calc'!A:A,0)),0)</f>
        <v>39458945.700130403</v>
      </c>
      <c r="M242" s="3">
        <f t="shared" si="9"/>
        <v>-2822377.1553148702</v>
      </c>
    </row>
    <row r="243" spans="1:13">
      <c r="A243" s="9" t="s">
        <v>774</v>
      </c>
      <c r="B243" s="9" t="s">
        <v>1517</v>
      </c>
      <c r="C243" s="9" t="s">
        <v>222</v>
      </c>
      <c r="D243" s="4" t="s">
        <v>775</v>
      </c>
      <c r="E243" s="14" t="s">
        <v>775</v>
      </c>
      <c r="F243" s="14" t="s">
        <v>776</v>
      </c>
      <c r="G243" s="14" t="s">
        <v>774</v>
      </c>
      <c r="H243" s="9" t="s">
        <v>1907</v>
      </c>
      <c r="I243" s="3">
        <v>6655921.2589496849</v>
      </c>
      <c r="J243" s="3">
        <v>2455351.6669772677</v>
      </c>
      <c r="K243" s="3">
        <f t="shared" si="8"/>
        <v>9111272.9259269536</v>
      </c>
      <c r="L243" s="3">
        <f>IFERROR(INDEX('CHIRP Payment Calc'!K:K,MATCH(A:A,'CHIRP Payment Calc'!A:A,0)),0)</f>
        <v>5904439.034168832</v>
      </c>
      <c r="M243" s="3">
        <f t="shared" si="9"/>
        <v>3206833.8917581216</v>
      </c>
    </row>
    <row r="244" spans="1:13">
      <c r="A244" s="9" t="s">
        <v>162</v>
      </c>
      <c r="B244" s="9" t="s">
        <v>1517</v>
      </c>
      <c r="C244" s="9" t="s">
        <v>222</v>
      </c>
      <c r="D244" s="4" t="s">
        <v>163</v>
      </c>
      <c r="E244" s="14" t="s">
        <v>163</v>
      </c>
      <c r="F244" s="14" t="s">
        <v>164</v>
      </c>
      <c r="G244" s="14" t="s">
        <v>162</v>
      </c>
      <c r="H244" s="9" t="s">
        <v>2479</v>
      </c>
      <c r="I244" s="3">
        <v>3263044.5309617189</v>
      </c>
      <c r="J244" s="3">
        <v>1621060.5546002525</v>
      </c>
      <c r="K244" s="3">
        <f t="shared" si="8"/>
        <v>4884105.0855619712</v>
      </c>
      <c r="L244" s="3">
        <f>IFERROR(INDEX('CHIRP Payment Calc'!K:K,MATCH(A:A,'CHIRP Payment Calc'!A:A,0)),0)</f>
        <v>3775286.2366075502</v>
      </c>
      <c r="M244" s="3">
        <f t="shared" si="9"/>
        <v>1108818.848954421</v>
      </c>
    </row>
    <row r="245" spans="1:13">
      <c r="A245" s="9" t="s">
        <v>515</v>
      </c>
      <c r="B245" s="9" t="s">
        <v>1517</v>
      </c>
      <c r="C245" s="9" t="s">
        <v>1481</v>
      </c>
      <c r="D245" s="4" t="s">
        <v>516</v>
      </c>
      <c r="E245" s="14" t="s">
        <v>516</v>
      </c>
      <c r="F245" s="14" t="s">
        <v>517</v>
      </c>
      <c r="G245" s="14" t="s">
        <v>515</v>
      </c>
      <c r="H245" s="9" t="s">
        <v>2478</v>
      </c>
      <c r="I245" s="3">
        <v>5726024.1782649094</v>
      </c>
      <c r="J245" s="3">
        <v>1591247.5869653097</v>
      </c>
      <c r="K245" s="3">
        <f t="shared" si="8"/>
        <v>7317271.7652302189</v>
      </c>
      <c r="L245" s="3">
        <f>IFERROR(INDEX('CHIRP Payment Calc'!K:K,MATCH(A:A,'CHIRP Payment Calc'!A:A,0)),0)</f>
        <v>8175182.4699172042</v>
      </c>
      <c r="M245" s="3">
        <f t="shared" si="9"/>
        <v>-857910.70468698535</v>
      </c>
    </row>
    <row r="246" spans="1:13">
      <c r="A246" s="9" t="s">
        <v>1053</v>
      </c>
      <c r="B246" s="9" t="s">
        <v>1517</v>
      </c>
      <c r="C246" s="9" t="s">
        <v>1550</v>
      </c>
      <c r="D246" s="4" t="s">
        <v>1054</v>
      </c>
      <c r="E246" s="14" t="s">
        <v>1054</v>
      </c>
      <c r="F246" s="14" t="s">
        <v>1055</v>
      </c>
      <c r="G246" s="14" t="s">
        <v>1053</v>
      </c>
      <c r="H246" s="9" t="s">
        <v>1684</v>
      </c>
      <c r="I246" s="3">
        <v>2118808.9042169354</v>
      </c>
      <c r="J246" s="3">
        <v>941849.48149029072</v>
      </c>
      <c r="K246" s="3">
        <f t="shared" si="8"/>
        <v>3060658.3857072261</v>
      </c>
      <c r="L246" s="3">
        <f>IFERROR(INDEX('CHIRP Payment Calc'!K:K,MATCH(A:A,'CHIRP Payment Calc'!A:A,0)),0)</f>
        <v>4104754.7267097668</v>
      </c>
      <c r="M246" s="3">
        <f t="shared" si="9"/>
        <v>-1044096.3410025407</v>
      </c>
    </row>
    <row r="247" spans="1:13">
      <c r="A247" s="9" t="s">
        <v>503</v>
      </c>
      <c r="B247" s="9" t="s">
        <v>1555</v>
      </c>
      <c r="C247" s="9" t="s">
        <v>222</v>
      </c>
      <c r="D247" s="4" t="s">
        <v>504</v>
      </c>
      <c r="E247" s="14" t="s">
        <v>504</v>
      </c>
      <c r="F247" s="14" t="s">
        <v>505</v>
      </c>
      <c r="G247" s="14" t="s">
        <v>503</v>
      </c>
      <c r="H247" s="9" t="s">
        <v>2477</v>
      </c>
      <c r="I247" s="3">
        <v>5370363.790272749</v>
      </c>
      <c r="J247" s="3">
        <v>5316203.1325778151</v>
      </c>
      <c r="K247" s="3">
        <f t="shared" si="8"/>
        <v>10686566.922850564</v>
      </c>
      <c r="L247" s="3">
        <f>IFERROR(INDEX('CHIRP Payment Calc'!K:K,MATCH(A:A,'CHIRP Payment Calc'!A:A,0)),0)</f>
        <v>11890302.058447035</v>
      </c>
      <c r="M247" s="3">
        <f t="shared" si="9"/>
        <v>-1203735.1355964709</v>
      </c>
    </row>
    <row r="248" spans="1:13">
      <c r="A248" s="9" t="s">
        <v>1402</v>
      </c>
      <c r="B248" s="9" t="s">
        <v>1555</v>
      </c>
      <c r="C248" s="9" t="s">
        <v>222</v>
      </c>
      <c r="D248" s="4" t="s">
        <v>1403</v>
      </c>
      <c r="E248" s="14" t="s">
        <v>1403</v>
      </c>
      <c r="F248" s="14" t="s">
        <v>1404</v>
      </c>
      <c r="G248" s="14" t="s">
        <v>1402</v>
      </c>
      <c r="H248" s="9" t="s">
        <v>2128</v>
      </c>
      <c r="I248" s="3">
        <v>14948.657494126603</v>
      </c>
      <c r="J248" s="3">
        <v>27596.097755067505</v>
      </c>
      <c r="K248" s="3">
        <f t="shared" si="8"/>
        <v>42544.75524919411</v>
      </c>
      <c r="L248" s="3">
        <f>IFERROR(INDEX('CHIRP Payment Calc'!K:K,MATCH(A:A,'CHIRP Payment Calc'!A:A,0)),0)</f>
        <v>0</v>
      </c>
      <c r="M248" s="3">
        <f t="shared" si="9"/>
        <v>42544.75524919411</v>
      </c>
    </row>
    <row r="249" spans="1:13">
      <c r="A249" s="9" t="s">
        <v>2860</v>
      </c>
      <c r="B249" s="9" t="s">
        <v>1555</v>
      </c>
      <c r="C249" s="9" t="s">
        <v>222</v>
      </c>
      <c r="D249" s="4" t="s">
        <v>1166</v>
      </c>
      <c r="E249" s="14" t="s">
        <v>1166</v>
      </c>
      <c r="F249" s="14" t="s">
        <v>1167</v>
      </c>
      <c r="G249" s="14" t="s">
        <v>1165</v>
      </c>
      <c r="H249" s="9" t="s">
        <v>2476</v>
      </c>
      <c r="I249" s="3">
        <v>585353.60895941593</v>
      </c>
      <c r="J249" s="3">
        <v>1178913.8869824535</v>
      </c>
      <c r="K249" s="3">
        <f t="shared" si="8"/>
        <v>1764267.4959418694</v>
      </c>
      <c r="L249" s="3">
        <f>IFERROR(INDEX('CHIRP Payment Calc'!K:K,MATCH(A:A,'CHIRP Payment Calc'!A:A,0)),0)</f>
        <v>2340868.5850796588</v>
      </c>
      <c r="M249" s="3">
        <f t="shared" si="9"/>
        <v>-576601.08913778933</v>
      </c>
    </row>
    <row r="250" spans="1:13">
      <c r="A250" s="9" t="s">
        <v>285</v>
      </c>
      <c r="B250" s="9" t="s">
        <v>1555</v>
      </c>
      <c r="C250" s="9" t="s">
        <v>222</v>
      </c>
      <c r="D250" s="4" t="s">
        <v>286</v>
      </c>
      <c r="E250" s="14" t="s">
        <v>286</v>
      </c>
      <c r="F250" s="14" t="s">
        <v>287</v>
      </c>
      <c r="G250" s="14" t="s">
        <v>285</v>
      </c>
      <c r="H250" s="9" t="s">
        <v>2475</v>
      </c>
      <c r="I250" s="3">
        <v>0</v>
      </c>
      <c r="J250" s="3">
        <v>0</v>
      </c>
      <c r="K250" s="3">
        <f t="shared" si="8"/>
        <v>0</v>
      </c>
      <c r="L250" s="3">
        <f>IFERROR(INDEX('CHIRP Payment Calc'!K:K,MATCH(A:A,'CHIRP Payment Calc'!A:A,0)),0)</f>
        <v>0</v>
      </c>
      <c r="M250" s="3">
        <f t="shared" si="9"/>
        <v>0</v>
      </c>
    </row>
    <row r="251" spans="1:13">
      <c r="A251" s="9" t="s">
        <v>593</v>
      </c>
      <c r="B251" s="9" t="s">
        <v>1555</v>
      </c>
      <c r="C251" s="9" t="s">
        <v>222</v>
      </c>
      <c r="D251" s="4" t="s">
        <v>594</v>
      </c>
      <c r="E251" s="14" t="s">
        <v>594</v>
      </c>
      <c r="F251" s="14" t="s">
        <v>595</v>
      </c>
      <c r="G251" s="14" t="s">
        <v>593</v>
      </c>
      <c r="H251" s="9" t="s">
        <v>2474</v>
      </c>
      <c r="I251" s="3">
        <v>5761256.2217080472</v>
      </c>
      <c r="J251" s="3">
        <v>6594067.2627158808</v>
      </c>
      <c r="K251" s="3">
        <f t="shared" si="8"/>
        <v>12355323.484423928</v>
      </c>
      <c r="L251" s="3">
        <f>IFERROR(INDEX('CHIRP Payment Calc'!K:K,MATCH(A:A,'CHIRP Payment Calc'!A:A,0)),0)</f>
        <v>15000288.333833249</v>
      </c>
      <c r="M251" s="3">
        <f t="shared" si="9"/>
        <v>-2644964.8494093213</v>
      </c>
    </row>
    <row r="252" spans="1:13">
      <c r="A252" s="9" t="s">
        <v>1490</v>
      </c>
      <c r="B252" s="9" t="s">
        <v>1555</v>
      </c>
      <c r="C252" s="9" t="s">
        <v>222</v>
      </c>
      <c r="D252" s="4" t="s">
        <v>1491</v>
      </c>
      <c r="E252" s="14" t="s">
        <v>1491</v>
      </c>
      <c r="F252" s="14" t="s">
        <v>1492</v>
      </c>
      <c r="G252" s="14" t="s">
        <v>1490</v>
      </c>
      <c r="H252" s="9" t="s">
        <v>2473</v>
      </c>
      <c r="I252" s="3">
        <v>2949.3754594370457</v>
      </c>
      <c r="J252" s="3">
        <v>0</v>
      </c>
      <c r="K252" s="3">
        <f t="shared" si="8"/>
        <v>2949.3754594370457</v>
      </c>
      <c r="L252" s="3">
        <f>IFERROR(INDEX('CHIRP Payment Calc'!K:K,MATCH(A:A,'CHIRP Payment Calc'!A:A,0)),0)</f>
        <v>0</v>
      </c>
      <c r="M252" s="3">
        <f t="shared" si="9"/>
        <v>2949.3754594370457</v>
      </c>
    </row>
    <row r="253" spans="1:13">
      <c r="A253" s="9" t="s">
        <v>1134</v>
      </c>
      <c r="B253" s="9" t="s">
        <v>1555</v>
      </c>
      <c r="C253" s="9" t="s">
        <v>222</v>
      </c>
      <c r="D253" s="4" t="s">
        <v>1135</v>
      </c>
      <c r="E253" s="14" t="s">
        <v>1135</v>
      </c>
      <c r="F253" s="14" t="s">
        <v>1136</v>
      </c>
      <c r="G253" s="14" t="s">
        <v>1134</v>
      </c>
      <c r="H253" s="9" t="s">
        <v>2472</v>
      </c>
      <c r="I253" s="3">
        <v>2690703.1991451136</v>
      </c>
      <c r="J253" s="3">
        <v>2637143.3503143159</v>
      </c>
      <c r="K253" s="3">
        <f t="shared" si="8"/>
        <v>5327846.5494594295</v>
      </c>
      <c r="L253" s="3">
        <f>IFERROR(INDEX('CHIRP Payment Calc'!K:K,MATCH(A:A,'CHIRP Payment Calc'!A:A,0)),0)</f>
        <v>5592095.0660064891</v>
      </c>
      <c r="M253" s="3">
        <f t="shared" si="9"/>
        <v>-264248.51654705964</v>
      </c>
    </row>
    <row r="254" spans="1:13">
      <c r="A254" s="9" t="s">
        <v>234</v>
      </c>
      <c r="B254" s="9" t="s">
        <v>1555</v>
      </c>
      <c r="C254" s="9" t="s">
        <v>222</v>
      </c>
      <c r="D254" s="4" t="s">
        <v>235</v>
      </c>
      <c r="E254" s="14" t="s">
        <v>235</v>
      </c>
      <c r="F254" s="14" t="s">
        <v>236</v>
      </c>
      <c r="G254" s="14" t="s">
        <v>234</v>
      </c>
      <c r="H254" s="9" t="s">
        <v>2471</v>
      </c>
      <c r="I254" s="3">
        <v>0</v>
      </c>
      <c r="J254" s="3">
        <v>0</v>
      </c>
      <c r="K254" s="3">
        <f t="shared" si="8"/>
        <v>0</v>
      </c>
      <c r="L254" s="3">
        <f>IFERROR(INDEX('CHIRP Payment Calc'!K:K,MATCH(A:A,'CHIRP Payment Calc'!A:A,0)),0)</f>
        <v>0</v>
      </c>
      <c r="M254" s="3">
        <f t="shared" si="9"/>
        <v>0</v>
      </c>
    </row>
    <row r="255" spans="1:13">
      <c r="A255" s="9" t="s">
        <v>129</v>
      </c>
      <c r="B255" s="9" t="s">
        <v>1555</v>
      </c>
      <c r="C255" s="9" t="s">
        <v>222</v>
      </c>
      <c r="D255" s="4" t="s">
        <v>130</v>
      </c>
      <c r="E255" s="14" t="s">
        <v>130</v>
      </c>
      <c r="F255" s="14" t="s">
        <v>131</v>
      </c>
      <c r="G255" s="14" t="s">
        <v>129</v>
      </c>
      <c r="H255" s="9" t="s">
        <v>2470</v>
      </c>
      <c r="I255" s="3">
        <v>0</v>
      </c>
      <c r="J255" s="3">
        <v>0</v>
      </c>
      <c r="K255" s="3">
        <f t="shared" si="8"/>
        <v>0</v>
      </c>
      <c r="L255" s="3">
        <f>IFERROR(INDEX('CHIRP Payment Calc'!K:K,MATCH(A:A,'CHIRP Payment Calc'!A:A,0)),0)</f>
        <v>0</v>
      </c>
      <c r="M255" s="3">
        <f t="shared" si="9"/>
        <v>0</v>
      </c>
    </row>
    <row r="256" spans="1:13">
      <c r="A256" s="9" t="s">
        <v>1174</v>
      </c>
      <c r="B256" s="9" t="s">
        <v>1555</v>
      </c>
      <c r="C256" s="9" t="s">
        <v>1481</v>
      </c>
      <c r="D256" s="4" t="s">
        <v>1175</v>
      </c>
      <c r="E256" s="14" t="s">
        <v>1175</v>
      </c>
      <c r="F256" s="14" t="s">
        <v>1176</v>
      </c>
      <c r="G256" s="14" t="s">
        <v>1174</v>
      </c>
      <c r="H256" s="9" t="s">
        <v>1585</v>
      </c>
      <c r="I256" s="3">
        <v>137630.839234443</v>
      </c>
      <c r="J256" s="3">
        <v>92469.702972205298</v>
      </c>
      <c r="K256" s="3">
        <f t="shared" si="8"/>
        <v>230100.5422066483</v>
      </c>
      <c r="L256" s="3">
        <f>IFERROR(INDEX('CHIRP Payment Calc'!K:K,MATCH(A:A,'CHIRP Payment Calc'!A:A,0)),0)</f>
        <v>0</v>
      </c>
      <c r="M256" s="3">
        <f t="shared" si="9"/>
        <v>230100.5422066483</v>
      </c>
    </row>
    <row r="257" spans="1:13">
      <c r="A257" s="9" t="s">
        <v>599</v>
      </c>
      <c r="B257" s="9" t="s">
        <v>1555</v>
      </c>
      <c r="C257" s="9" t="s">
        <v>1481</v>
      </c>
      <c r="D257" s="4" t="s">
        <v>600</v>
      </c>
      <c r="E257" s="14" t="s">
        <v>600</v>
      </c>
      <c r="F257" s="14" t="s">
        <v>601</v>
      </c>
      <c r="G257" s="14" t="s">
        <v>599</v>
      </c>
      <c r="H257" s="9" t="s">
        <v>2469</v>
      </c>
      <c r="I257" s="3">
        <v>1270042.5242503725</v>
      </c>
      <c r="J257" s="3">
        <v>1180577.4188254024</v>
      </c>
      <c r="K257" s="3">
        <f t="shared" si="8"/>
        <v>2450619.9430757752</v>
      </c>
      <c r="L257" s="3">
        <f>IFERROR(INDEX('CHIRP Payment Calc'!K:K,MATCH(A:A,'CHIRP Payment Calc'!A:A,0)),0)</f>
        <v>2269835.5954287513</v>
      </c>
      <c r="M257" s="3">
        <f t="shared" si="9"/>
        <v>180784.34764702385</v>
      </c>
    </row>
    <row r="258" spans="1:13">
      <c r="A258" s="9" t="s">
        <v>847</v>
      </c>
      <c r="B258" s="9" t="s">
        <v>1555</v>
      </c>
      <c r="C258" s="9" t="s">
        <v>1481</v>
      </c>
      <c r="D258" s="4" t="s">
        <v>848</v>
      </c>
      <c r="E258" s="14" t="s">
        <v>848</v>
      </c>
      <c r="F258" s="14" t="s">
        <v>849</v>
      </c>
      <c r="G258" s="14" t="s">
        <v>847</v>
      </c>
      <c r="H258" s="9" t="s">
        <v>2468</v>
      </c>
      <c r="I258" s="3">
        <v>2246166.3920912468</v>
      </c>
      <c r="J258" s="3">
        <v>2037000.0258516271</v>
      </c>
      <c r="K258" s="3">
        <f t="shared" si="8"/>
        <v>4283166.4179428741</v>
      </c>
      <c r="L258" s="3">
        <f>IFERROR(INDEX('CHIRP Payment Calc'!K:K,MATCH(A:A,'CHIRP Payment Calc'!A:A,0)),0)</f>
        <v>3817036.0385509888</v>
      </c>
      <c r="M258" s="3">
        <f t="shared" si="9"/>
        <v>466130.37939188536</v>
      </c>
    </row>
    <row r="259" spans="1:13">
      <c r="A259" s="9" t="s">
        <v>947</v>
      </c>
      <c r="B259" s="9" t="s">
        <v>1555</v>
      </c>
      <c r="C259" s="9" t="s">
        <v>1481</v>
      </c>
      <c r="D259" s="4" t="s">
        <v>948</v>
      </c>
      <c r="E259" s="14" t="s">
        <v>948</v>
      </c>
      <c r="F259" s="14" t="s">
        <v>949</v>
      </c>
      <c r="G259" s="14" t="s">
        <v>947</v>
      </c>
      <c r="H259" s="9" t="s">
        <v>2467</v>
      </c>
      <c r="I259" s="3">
        <v>0</v>
      </c>
      <c r="J259" s="3">
        <v>0</v>
      </c>
      <c r="K259" s="3">
        <f t="shared" si="8"/>
        <v>0</v>
      </c>
      <c r="L259" s="3">
        <f>IFERROR(INDEX('CHIRP Payment Calc'!K:K,MATCH(A:A,'CHIRP Payment Calc'!A:A,0)),0)</f>
        <v>0</v>
      </c>
      <c r="M259" s="3">
        <f t="shared" si="9"/>
        <v>0</v>
      </c>
    </row>
    <row r="260" spans="1:13">
      <c r="A260" s="9" t="s">
        <v>798</v>
      </c>
      <c r="B260" s="9" t="s">
        <v>1555</v>
      </c>
      <c r="C260" s="9" t="s">
        <v>1550</v>
      </c>
      <c r="D260" s="4" t="s">
        <v>799</v>
      </c>
      <c r="E260" s="14" t="s">
        <v>799</v>
      </c>
      <c r="F260" s="14" t="s">
        <v>800</v>
      </c>
      <c r="G260" s="14" t="s">
        <v>798</v>
      </c>
      <c r="H260" s="9" t="s">
        <v>2466</v>
      </c>
      <c r="I260" s="3">
        <v>212261.82937096051</v>
      </c>
      <c r="J260" s="3">
        <v>193255.72247560305</v>
      </c>
      <c r="K260" s="3">
        <f t="shared" si="8"/>
        <v>405517.55184656358</v>
      </c>
      <c r="L260" s="3">
        <f>IFERROR(INDEX('CHIRP Payment Calc'!K:K,MATCH(A:A,'CHIRP Payment Calc'!A:A,0)),0)</f>
        <v>1503465.5556852822</v>
      </c>
      <c r="M260" s="3">
        <f t="shared" si="9"/>
        <v>-1097948.0038387186</v>
      </c>
    </row>
    <row r="261" spans="1:13">
      <c r="A261" s="9" t="s">
        <v>527</v>
      </c>
      <c r="B261" s="9" t="s">
        <v>1555</v>
      </c>
      <c r="C261" s="9" t="s">
        <v>1550</v>
      </c>
      <c r="D261" s="4" t="s">
        <v>528</v>
      </c>
      <c r="E261" s="14" t="s">
        <v>528</v>
      </c>
      <c r="F261" s="14" t="s">
        <v>529</v>
      </c>
      <c r="G261" s="14" t="s">
        <v>527</v>
      </c>
      <c r="H261" s="9" t="s">
        <v>2465</v>
      </c>
      <c r="I261" s="3">
        <v>214772.21566972978</v>
      </c>
      <c r="J261" s="3">
        <v>139591.97792752474</v>
      </c>
      <c r="K261" s="3">
        <f t="shared" si="8"/>
        <v>354364.19359725452</v>
      </c>
      <c r="L261" s="3">
        <f>IFERROR(INDEX('CHIRP Payment Calc'!K:K,MATCH(A:A,'CHIRP Payment Calc'!A:A,0)),0)</f>
        <v>590396.84572295134</v>
      </c>
      <c r="M261" s="3">
        <f t="shared" si="9"/>
        <v>-236032.65212569683</v>
      </c>
    </row>
    <row r="262" spans="1:13">
      <c r="A262" s="9" t="s">
        <v>1149</v>
      </c>
      <c r="B262" s="9" t="s">
        <v>1555</v>
      </c>
      <c r="C262" s="9" t="s">
        <v>1550</v>
      </c>
      <c r="D262" s="4" t="s">
        <v>1150</v>
      </c>
      <c r="E262" s="14" t="s">
        <v>1150</v>
      </c>
      <c r="F262" s="14" t="s">
        <v>1151</v>
      </c>
      <c r="G262" s="14" t="s">
        <v>1149</v>
      </c>
      <c r="H262" s="9" t="s">
        <v>1626</v>
      </c>
      <c r="I262" s="3">
        <v>150205.74164126915</v>
      </c>
      <c r="J262" s="3">
        <v>107094.98298594289</v>
      </c>
      <c r="K262" s="3">
        <f t="shared" si="8"/>
        <v>257300.72462721204</v>
      </c>
      <c r="L262" s="3">
        <f>IFERROR(INDEX('CHIRP Payment Calc'!K:K,MATCH(A:A,'CHIRP Payment Calc'!A:A,0)),0)</f>
        <v>649274.24812915968</v>
      </c>
      <c r="M262" s="3">
        <f t="shared" si="9"/>
        <v>-391973.52350194764</v>
      </c>
    </row>
    <row r="263" spans="1:13">
      <c r="A263" s="9" t="s">
        <v>883</v>
      </c>
      <c r="B263" s="9" t="s">
        <v>1530</v>
      </c>
      <c r="C263" s="9" t="s">
        <v>1644</v>
      </c>
      <c r="D263" s="4" t="s">
        <v>884</v>
      </c>
      <c r="E263" s="14" t="s">
        <v>884</v>
      </c>
      <c r="F263" s="14" t="s">
        <v>885</v>
      </c>
      <c r="G263" s="14" t="s">
        <v>883</v>
      </c>
      <c r="H263" s="9" t="s">
        <v>2464</v>
      </c>
      <c r="I263" s="3">
        <v>34327999.300322428</v>
      </c>
      <c r="J263" s="3">
        <v>1970401.4164140641</v>
      </c>
      <c r="K263" s="3">
        <f t="shared" si="8"/>
        <v>36298400.716736495</v>
      </c>
      <c r="L263" s="3">
        <f>IFERROR(INDEX('CHIRP Payment Calc'!K:K,MATCH(A:A,'CHIRP Payment Calc'!A:A,0)),0)</f>
        <v>34538112.81299755</v>
      </c>
      <c r="M263" s="3">
        <f t="shared" si="9"/>
        <v>1760287.9037389457</v>
      </c>
    </row>
    <row r="264" spans="1:13">
      <c r="A264" s="9" t="s">
        <v>1473</v>
      </c>
      <c r="C264" s="9" t="s">
        <v>222</v>
      </c>
      <c r="D264" s="4" t="s">
        <v>1474</v>
      </c>
      <c r="E264" s="14" t="e">
        <v>#N/A</v>
      </c>
      <c r="F264" s="14" t="e">
        <v>#N/A</v>
      </c>
      <c r="G264" s="14" t="e">
        <v>#N/A</v>
      </c>
      <c r="H264" s="9" t="s">
        <v>1475</v>
      </c>
      <c r="I264" s="3">
        <v>81056.034442114556</v>
      </c>
      <c r="J264" s="3">
        <v>95693.118134960809</v>
      </c>
      <c r="K264" s="3">
        <f t="shared" ref="K264:K327" si="10">I264+J264</f>
        <v>176749.15257707535</v>
      </c>
      <c r="L264" s="3">
        <f>IFERROR(INDEX('CHIRP Payment Calc'!K:K,MATCH(A:A,'CHIRP Payment Calc'!A:A,0)),0)</f>
        <v>584073.62773427856</v>
      </c>
      <c r="M264" s="3">
        <f t="shared" ref="M264:M327" si="11">K264-L264</f>
        <v>-407324.47515720321</v>
      </c>
    </row>
    <row r="265" spans="1:13">
      <c r="A265" s="9" t="s">
        <v>91</v>
      </c>
      <c r="B265" s="9" t="s">
        <v>1530</v>
      </c>
      <c r="C265" s="9" t="s">
        <v>222</v>
      </c>
      <c r="D265" s="4" t="s">
        <v>92</v>
      </c>
      <c r="E265" s="14" t="s">
        <v>92</v>
      </c>
      <c r="F265" s="14" t="s">
        <v>93</v>
      </c>
      <c r="G265" s="14" t="s">
        <v>91</v>
      </c>
      <c r="H265" s="9" t="s">
        <v>2462</v>
      </c>
      <c r="I265" s="3">
        <v>29584.910272892623</v>
      </c>
      <c r="J265" s="3">
        <v>0</v>
      </c>
      <c r="K265" s="3">
        <f t="shared" si="10"/>
        <v>29584.910272892623</v>
      </c>
      <c r="L265" s="3">
        <f>IFERROR(INDEX('CHIRP Payment Calc'!K:K,MATCH(A:A,'CHIRP Payment Calc'!A:A,0)),0)</f>
        <v>0</v>
      </c>
      <c r="M265" s="3">
        <f t="shared" si="11"/>
        <v>29584.910272892623</v>
      </c>
    </row>
    <row r="266" spans="1:13">
      <c r="A266" s="9" t="s">
        <v>474</v>
      </c>
      <c r="B266" s="9" t="s">
        <v>1530</v>
      </c>
      <c r="C266" s="9" t="s">
        <v>222</v>
      </c>
      <c r="D266" s="4" t="s">
        <v>475</v>
      </c>
      <c r="E266" s="14" t="s">
        <v>475</v>
      </c>
      <c r="F266" s="14" t="s">
        <v>476</v>
      </c>
      <c r="G266" s="14" t="s">
        <v>474</v>
      </c>
      <c r="H266" s="9" t="s">
        <v>2461</v>
      </c>
      <c r="I266" s="3">
        <v>0</v>
      </c>
      <c r="J266" s="3">
        <v>0</v>
      </c>
      <c r="K266" s="3">
        <f t="shared" si="10"/>
        <v>0</v>
      </c>
      <c r="L266" s="3">
        <f>IFERROR(INDEX('CHIRP Payment Calc'!K:K,MATCH(A:A,'CHIRP Payment Calc'!A:A,0)),0)</f>
        <v>0</v>
      </c>
      <c r="M266" s="3">
        <f t="shared" si="11"/>
        <v>0</v>
      </c>
    </row>
    <row r="267" spans="1:13">
      <c r="A267" s="9" t="s">
        <v>810</v>
      </c>
      <c r="B267" s="9" t="s">
        <v>1530</v>
      </c>
      <c r="C267" s="9" t="s">
        <v>222</v>
      </c>
      <c r="D267" s="4" t="s">
        <v>811</v>
      </c>
      <c r="E267" s="14" t="s">
        <v>811</v>
      </c>
      <c r="F267" s="14" t="s">
        <v>812</v>
      </c>
      <c r="G267" s="14" t="s">
        <v>810</v>
      </c>
      <c r="H267" s="9" t="s">
        <v>2460</v>
      </c>
      <c r="I267" s="3">
        <v>308396.68238806044</v>
      </c>
      <c r="J267" s="3">
        <v>191932.60202303651</v>
      </c>
      <c r="K267" s="3">
        <f t="shared" si="10"/>
        <v>500329.28441109695</v>
      </c>
      <c r="L267" s="3">
        <f>IFERROR(INDEX('CHIRP Payment Calc'!K:K,MATCH(A:A,'CHIRP Payment Calc'!A:A,0)),0)</f>
        <v>0</v>
      </c>
      <c r="M267" s="3">
        <f t="shared" si="11"/>
        <v>500329.28441109695</v>
      </c>
    </row>
    <row r="268" spans="1:13">
      <c r="A268" s="9" t="s">
        <v>46</v>
      </c>
      <c r="B268" s="9" t="s">
        <v>1530</v>
      </c>
      <c r="C268" s="9" t="s">
        <v>222</v>
      </c>
      <c r="D268" s="4" t="s">
        <v>47</v>
      </c>
      <c r="E268" s="14" t="s">
        <v>47</v>
      </c>
      <c r="F268" s="14" t="s">
        <v>48</v>
      </c>
      <c r="G268" s="14" t="s">
        <v>46</v>
      </c>
      <c r="H268" s="9" t="s">
        <v>2459</v>
      </c>
      <c r="I268" s="3">
        <v>6155122.5971305147</v>
      </c>
      <c r="J268" s="3">
        <v>4872860.1102554705</v>
      </c>
      <c r="K268" s="3">
        <f t="shared" si="10"/>
        <v>11027982.707385985</v>
      </c>
      <c r="L268" s="3">
        <f>IFERROR(INDEX('CHIRP Payment Calc'!K:K,MATCH(A:A,'CHIRP Payment Calc'!A:A,0)),0)</f>
        <v>9654308.505534362</v>
      </c>
      <c r="M268" s="3">
        <f t="shared" si="11"/>
        <v>1373674.2018516231</v>
      </c>
    </row>
    <row r="269" spans="1:13">
      <c r="A269" s="9" t="s">
        <v>1568</v>
      </c>
      <c r="B269" s="9" t="s">
        <v>1530</v>
      </c>
      <c r="C269" s="9" t="s">
        <v>222</v>
      </c>
      <c r="D269" s="4" t="s">
        <v>1808</v>
      </c>
      <c r="E269" s="14" t="s">
        <v>1808</v>
      </c>
      <c r="F269" s="14" t="s">
        <v>1271</v>
      </c>
      <c r="G269" s="14" t="s">
        <v>1568</v>
      </c>
      <c r="H269" s="9" t="s">
        <v>2458</v>
      </c>
      <c r="I269" s="3">
        <v>19885749.325538397</v>
      </c>
      <c r="J269" s="3">
        <v>5124157.1020996254</v>
      </c>
      <c r="K269" s="3">
        <f t="shared" si="10"/>
        <v>25009906.427638024</v>
      </c>
      <c r="L269" s="3">
        <f>IFERROR(INDEX('CHIRP Payment Calc'!K:K,MATCH(A:A,'CHIRP Payment Calc'!A:A,0)),0)</f>
        <v>28741364.557985608</v>
      </c>
      <c r="M269" s="3">
        <f t="shared" si="11"/>
        <v>-3731458.1303475834</v>
      </c>
    </row>
    <row r="270" spans="1:13">
      <c r="A270" s="9" t="s">
        <v>1533</v>
      </c>
      <c r="B270" s="9" t="s">
        <v>1530</v>
      </c>
      <c r="C270" s="9" t="s">
        <v>222</v>
      </c>
      <c r="D270" s="4" t="s">
        <v>1534</v>
      </c>
      <c r="E270" s="14" t="s">
        <v>1534</v>
      </c>
      <c r="F270" s="14" t="s">
        <v>1535</v>
      </c>
      <c r="G270" s="14" t="s">
        <v>1533</v>
      </c>
      <c r="H270" s="9" t="s">
        <v>2457</v>
      </c>
      <c r="I270" s="3">
        <v>0</v>
      </c>
      <c r="J270" s="3">
        <v>0</v>
      </c>
      <c r="K270" s="3">
        <f t="shared" si="10"/>
        <v>0</v>
      </c>
      <c r="L270" s="3">
        <f>IFERROR(INDEX('CHIRP Payment Calc'!K:K,MATCH(A:A,'CHIRP Payment Calc'!A:A,0)),0)</f>
        <v>0</v>
      </c>
      <c r="M270" s="3">
        <f t="shared" si="11"/>
        <v>0</v>
      </c>
    </row>
    <row r="271" spans="1:13">
      <c r="A271" s="9" t="s">
        <v>2455</v>
      </c>
      <c r="B271" s="9" t="s">
        <v>1530</v>
      </c>
      <c r="C271" s="9" t="s">
        <v>222</v>
      </c>
      <c r="D271" s="4" t="s">
        <v>2456</v>
      </c>
      <c r="E271" s="14" t="s">
        <v>2456</v>
      </c>
      <c r="F271" s="14" t="e">
        <v>#N/A</v>
      </c>
      <c r="G271" s="14" t="s">
        <v>2455</v>
      </c>
      <c r="H271" s="9" t="s">
        <v>2454</v>
      </c>
      <c r="I271" s="3">
        <v>0</v>
      </c>
      <c r="J271" s="3">
        <v>0</v>
      </c>
      <c r="K271" s="3">
        <f t="shared" si="10"/>
        <v>0</v>
      </c>
      <c r="L271" s="3">
        <f>IFERROR(INDEX('CHIRP Payment Calc'!K:K,MATCH(A:A,'CHIRP Payment Calc'!A:A,0)),0)</f>
        <v>0</v>
      </c>
      <c r="M271" s="3">
        <f t="shared" si="11"/>
        <v>0</v>
      </c>
    </row>
    <row r="272" spans="1:13">
      <c r="A272" s="9" t="s">
        <v>317</v>
      </c>
      <c r="B272" s="9" t="s">
        <v>1530</v>
      </c>
      <c r="C272" s="9" t="s">
        <v>222</v>
      </c>
      <c r="D272" s="4" t="s">
        <v>318</v>
      </c>
      <c r="E272" s="14" t="s">
        <v>318</v>
      </c>
      <c r="F272" s="14" t="s">
        <v>319</v>
      </c>
      <c r="G272" s="14" t="s">
        <v>317</v>
      </c>
      <c r="H272" s="9" t="s">
        <v>2453</v>
      </c>
      <c r="I272" s="3">
        <v>121053.24043649244</v>
      </c>
      <c r="J272" s="3">
        <v>22904.750585964539</v>
      </c>
      <c r="K272" s="3">
        <f t="shared" si="10"/>
        <v>143957.99102245699</v>
      </c>
      <c r="L272" s="3">
        <f>IFERROR(INDEX('CHIRP Payment Calc'!K:K,MATCH(A:A,'CHIRP Payment Calc'!A:A,0)),0)</f>
        <v>371469.62783915899</v>
      </c>
      <c r="M272" s="3">
        <f t="shared" si="11"/>
        <v>-227511.636816702</v>
      </c>
    </row>
    <row r="273" spans="1:13">
      <c r="A273" s="9" t="s">
        <v>237</v>
      </c>
      <c r="B273" s="9" t="s">
        <v>1530</v>
      </c>
      <c r="C273" s="9" t="s">
        <v>222</v>
      </c>
      <c r="D273" s="4" t="s">
        <v>238</v>
      </c>
      <c r="E273" s="14" t="s">
        <v>238</v>
      </c>
      <c r="F273" s="14" t="s">
        <v>239</v>
      </c>
      <c r="G273" s="14" t="s">
        <v>237</v>
      </c>
      <c r="H273" s="9" t="s">
        <v>2452</v>
      </c>
      <c r="I273" s="3">
        <v>2120.3985051246068</v>
      </c>
      <c r="J273" s="3">
        <v>20309.778957427599</v>
      </c>
      <c r="K273" s="3">
        <f t="shared" si="10"/>
        <v>22430.177462552205</v>
      </c>
      <c r="L273" s="3">
        <f>IFERROR(INDEX('CHIRP Payment Calc'!K:K,MATCH(A:A,'CHIRP Payment Calc'!A:A,0)),0)</f>
        <v>283833.42796662281</v>
      </c>
      <c r="M273" s="3">
        <f t="shared" si="11"/>
        <v>-261403.2505040706</v>
      </c>
    </row>
    <row r="274" spans="1:13">
      <c r="A274" s="9" t="s">
        <v>1575</v>
      </c>
      <c r="B274" s="9" t="s">
        <v>1530</v>
      </c>
      <c r="C274" s="9" t="s">
        <v>222</v>
      </c>
      <c r="D274" s="4" t="s">
        <v>1400</v>
      </c>
      <c r="E274" s="14" t="s">
        <v>2026</v>
      </c>
      <c r="F274" s="14" t="s">
        <v>1401</v>
      </c>
      <c r="G274" s="14" t="s">
        <v>1575</v>
      </c>
      <c r="H274" s="9" t="s">
        <v>2451</v>
      </c>
      <c r="I274" s="3">
        <v>244288.35455391306</v>
      </c>
      <c r="J274" s="3">
        <v>0</v>
      </c>
      <c r="K274" s="3">
        <f t="shared" si="10"/>
        <v>244288.35455391306</v>
      </c>
      <c r="L274" s="3">
        <f>IFERROR(INDEX('CHIRP Payment Calc'!K:K,MATCH(A:A,'CHIRP Payment Calc'!A:A,0)),0)</f>
        <v>0</v>
      </c>
      <c r="M274" s="3">
        <f t="shared" si="11"/>
        <v>244288.35455391306</v>
      </c>
    </row>
    <row r="275" spans="1:13">
      <c r="A275" s="9" t="s">
        <v>671</v>
      </c>
      <c r="B275" s="9" t="s">
        <v>1530</v>
      </c>
      <c r="C275" s="9" t="s">
        <v>222</v>
      </c>
      <c r="D275" s="4" t="s">
        <v>672</v>
      </c>
      <c r="E275" s="14" t="s">
        <v>672</v>
      </c>
      <c r="F275" s="14" t="s">
        <v>673</v>
      </c>
      <c r="G275" s="14" t="s">
        <v>671</v>
      </c>
      <c r="H275" s="9" t="s">
        <v>2450</v>
      </c>
      <c r="I275" s="3">
        <v>2210517.584365123</v>
      </c>
      <c r="J275" s="3">
        <v>3072546.0707428241</v>
      </c>
      <c r="K275" s="3">
        <f t="shared" si="10"/>
        <v>5283063.6551079471</v>
      </c>
      <c r="L275" s="3">
        <f>IFERROR(INDEX('CHIRP Payment Calc'!K:K,MATCH(A:A,'CHIRP Payment Calc'!A:A,0)),0)</f>
        <v>0</v>
      </c>
      <c r="M275" s="3">
        <f t="shared" si="11"/>
        <v>5283063.6551079471</v>
      </c>
    </row>
    <row r="276" spans="1:13">
      <c r="A276" s="9" t="s">
        <v>677</v>
      </c>
      <c r="B276" s="9" t="s">
        <v>1530</v>
      </c>
      <c r="C276" s="9" t="s">
        <v>1481</v>
      </c>
      <c r="D276" s="4" t="s">
        <v>678</v>
      </c>
      <c r="E276" s="14" t="s">
        <v>678</v>
      </c>
      <c r="F276" s="14" t="s">
        <v>679</v>
      </c>
      <c r="G276" s="14" t="s">
        <v>677</v>
      </c>
      <c r="H276" s="9" t="s">
        <v>2022</v>
      </c>
      <c r="I276" s="3">
        <v>108336.9353826389</v>
      </c>
      <c r="J276" s="3">
        <v>46965.88530600215</v>
      </c>
      <c r="K276" s="3">
        <f t="shared" si="10"/>
        <v>155302.82068864105</v>
      </c>
      <c r="L276" s="3">
        <f>IFERROR(INDEX('CHIRP Payment Calc'!K:K,MATCH(A:A,'CHIRP Payment Calc'!A:A,0)),0)</f>
        <v>0</v>
      </c>
      <c r="M276" s="3">
        <f t="shared" si="11"/>
        <v>155302.82068864105</v>
      </c>
    </row>
    <row r="277" spans="1:13">
      <c r="A277" s="9" t="s">
        <v>877</v>
      </c>
      <c r="B277" s="9" t="s">
        <v>1530</v>
      </c>
      <c r="C277" s="9" t="s">
        <v>1481</v>
      </c>
      <c r="D277" s="4" t="s">
        <v>878</v>
      </c>
      <c r="E277" s="14" t="s">
        <v>878</v>
      </c>
      <c r="F277" s="14" t="s">
        <v>879</v>
      </c>
      <c r="G277" s="14" t="s">
        <v>877</v>
      </c>
      <c r="H277" s="9" t="s">
        <v>2449</v>
      </c>
      <c r="I277" s="3">
        <v>2465466.4768559658</v>
      </c>
      <c r="J277" s="3">
        <v>357697.2983647022</v>
      </c>
      <c r="K277" s="3">
        <f t="shared" si="10"/>
        <v>2823163.7752206679</v>
      </c>
      <c r="L277" s="3">
        <f>IFERROR(INDEX('CHIRP Payment Calc'!K:K,MATCH(A:A,'CHIRP Payment Calc'!A:A,0)),0)</f>
        <v>4630445.4995828308</v>
      </c>
      <c r="M277" s="3">
        <f t="shared" si="11"/>
        <v>-1807281.7243621629</v>
      </c>
    </row>
    <row r="278" spans="1:13">
      <c r="A278" s="9" t="s">
        <v>871</v>
      </c>
      <c r="B278" s="9" t="s">
        <v>1530</v>
      </c>
      <c r="C278" s="9" t="s">
        <v>1481</v>
      </c>
      <c r="D278" s="4" t="s">
        <v>872</v>
      </c>
      <c r="E278" s="14" t="s">
        <v>872</v>
      </c>
      <c r="F278" s="14" t="s">
        <v>873</v>
      </c>
      <c r="G278" s="14" t="s">
        <v>871</v>
      </c>
      <c r="H278" s="9" t="s">
        <v>2448</v>
      </c>
      <c r="I278" s="3">
        <v>1640917.1041809272</v>
      </c>
      <c r="J278" s="3">
        <v>288627.48277881526</v>
      </c>
      <c r="K278" s="3">
        <f t="shared" si="10"/>
        <v>1929544.5869597425</v>
      </c>
      <c r="L278" s="3">
        <f>IFERROR(INDEX('CHIRP Payment Calc'!K:K,MATCH(A:A,'CHIRP Payment Calc'!A:A,0)),0)</f>
        <v>2540427.3101331894</v>
      </c>
      <c r="M278" s="3">
        <f t="shared" si="11"/>
        <v>-610882.72317344695</v>
      </c>
    </row>
    <row r="279" spans="1:13">
      <c r="A279" s="9" t="s">
        <v>722</v>
      </c>
      <c r="B279" s="9" t="s">
        <v>1530</v>
      </c>
      <c r="C279" s="9" t="s">
        <v>1481</v>
      </c>
      <c r="D279" s="4" t="s">
        <v>723</v>
      </c>
      <c r="E279" s="14" t="s">
        <v>723</v>
      </c>
      <c r="F279" s="14" t="s">
        <v>724</v>
      </c>
      <c r="G279" s="14" t="s">
        <v>722</v>
      </c>
      <c r="H279" s="9" t="s">
        <v>2447</v>
      </c>
      <c r="I279" s="3">
        <v>1822901.5435792729</v>
      </c>
      <c r="J279" s="3">
        <v>208239.70587281891</v>
      </c>
      <c r="K279" s="3">
        <f t="shared" si="10"/>
        <v>2031141.2494520918</v>
      </c>
      <c r="L279" s="3">
        <f>IFERROR(INDEX('CHIRP Payment Calc'!K:K,MATCH(A:A,'CHIRP Payment Calc'!A:A,0)),0)</f>
        <v>4079671.4255007403</v>
      </c>
      <c r="M279" s="3">
        <f t="shared" si="11"/>
        <v>-2048530.1760486485</v>
      </c>
    </row>
    <row r="280" spans="1:13">
      <c r="A280" s="9" t="s">
        <v>1177</v>
      </c>
      <c r="B280" s="9" t="s">
        <v>1530</v>
      </c>
      <c r="C280" s="9" t="s">
        <v>1550</v>
      </c>
      <c r="D280" s="4" t="s">
        <v>1178</v>
      </c>
      <c r="E280" s="14" t="s">
        <v>1178</v>
      </c>
      <c r="F280" s="14" t="s">
        <v>1179</v>
      </c>
      <c r="G280" s="14" t="s">
        <v>1177</v>
      </c>
      <c r="H280" s="9" t="s">
        <v>1593</v>
      </c>
      <c r="I280" s="3">
        <v>282180.94814516098</v>
      </c>
      <c r="J280" s="3">
        <v>53994.649268879853</v>
      </c>
      <c r="K280" s="3">
        <f t="shared" si="10"/>
        <v>336175.59741404082</v>
      </c>
      <c r="L280" s="3">
        <f>IFERROR(INDEX('CHIRP Payment Calc'!K:K,MATCH(A:A,'CHIRP Payment Calc'!A:A,0)),0)</f>
        <v>454889.80786896963</v>
      </c>
      <c r="M280" s="3">
        <f t="shared" si="11"/>
        <v>-118714.21045492881</v>
      </c>
    </row>
    <row r="281" spans="1:13">
      <c r="A281" s="9" t="s">
        <v>1075</v>
      </c>
      <c r="B281" s="9" t="s">
        <v>1530</v>
      </c>
      <c r="C281" s="9" t="s">
        <v>1550</v>
      </c>
      <c r="D281" s="4" t="s">
        <v>1076</v>
      </c>
      <c r="E281" s="14" t="s">
        <v>1076</v>
      </c>
      <c r="F281" s="14" t="s">
        <v>1077</v>
      </c>
      <c r="G281" s="14" t="s">
        <v>1075</v>
      </c>
      <c r="H281" s="9" t="s">
        <v>2446</v>
      </c>
      <c r="I281" s="3">
        <v>235393.15791173824</v>
      </c>
      <c r="J281" s="3">
        <v>75164.153454578627</v>
      </c>
      <c r="K281" s="3">
        <f t="shared" si="10"/>
        <v>310557.31136631686</v>
      </c>
      <c r="L281" s="3">
        <f>IFERROR(INDEX('CHIRP Payment Calc'!K:K,MATCH(A:A,'CHIRP Payment Calc'!A:A,0)),0)</f>
        <v>538881.39090618328</v>
      </c>
      <c r="M281" s="3">
        <f t="shared" si="11"/>
        <v>-228324.07953986642</v>
      </c>
    </row>
    <row r="282" spans="1:13">
      <c r="A282" s="9" t="s">
        <v>683</v>
      </c>
      <c r="B282" s="9" t="s">
        <v>1530</v>
      </c>
      <c r="C282" s="9" t="s">
        <v>1550</v>
      </c>
      <c r="D282" s="4" t="s">
        <v>684</v>
      </c>
      <c r="E282" s="14" t="s">
        <v>684</v>
      </c>
      <c r="F282" s="14" t="s">
        <v>685</v>
      </c>
      <c r="G282" s="14" t="s">
        <v>683</v>
      </c>
      <c r="H282" s="9" t="s">
        <v>2445</v>
      </c>
      <c r="I282" s="3">
        <v>1569035.1370297181</v>
      </c>
      <c r="J282" s="3">
        <v>124969.04849284602</v>
      </c>
      <c r="K282" s="3">
        <f t="shared" si="10"/>
        <v>1694004.1855225642</v>
      </c>
      <c r="L282" s="3">
        <f>IFERROR(INDEX('CHIRP Payment Calc'!K:K,MATCH(A:A,'CHIRP Payment Calc'!A:A,0)),0)</f>
        <v>2382408.0197317638</v>
      </c>
      <c r="M282" s="3">
        <f t="shared" si="11"/>
        <v>-688403.83420919953</v>
      </c>
    </row>
    <row r="283" spans="1:13">
      <c r="A283" s="9" t="s">
        <v>786</v>
      </c>
      <c r="B283" s="9" t="s">
        <v>1530</v>
      </c>
      <c r="C283" s="9" t="s">
        <v>1550</v>
      </c>
      <c r="D283" s="4" t="s">
        <v>787</v>
      </c>
      <c r="E283" s="14" t="s">
        <v>787</v>
      </c>
      <c r="F283" s="14" t="s">
        <v>788</v>
      </c>
      <c r="G283" s="14" t="s">
        <v>786</v>
      </c>
      <c r="H283" s="9" t="s">
        <v>1901</v>
      </c>
      <c r="I283" s="3">
        <v>332286.71797208185</v>
      </c>
      <c r="J283" s="3">
        <v>65248.742783338341</v>
      </c>
      <c r="K283" s="3">
        <f t="shared" si="10"/>
        <v>397535.46075542021</v>
      </c>
      <c r="L283" s="3">
        <f>IFERROR(INDEX('CHIRP Payment Calc'!K:K,MATCH(A:A,'CHIRP Payment Calc'!A:A,0)),0)</f>
        <v>604308.49529189093</v>
      </c>
      <c r="M283" s="3">
        <f t="shared" si="11"/>
        <v>-206773.03453647072</v>
      </c>
    </row>
    <row r="284" spans="1:13">
      <c r="A284" s="9" t="s">
        <v>1086</v>
      </c>
      <c r="B284" s="9" t="s">
        <v>1530</v>
      </c>
      <c r="C284" s="9" t="s">
        <v>1550</v>
      </c>
      <c r="D284" s="4" t="s">
        <v>1087</v>
      </c>
      <c r="E284" s="14" t="s">
        <v>1087</v>
      </c>
      <c r="F284" s="14" t="s">
        <v>1088</v>
      </c>
      <c r="G284" s="14" t="s">
        <v>1086</v>
      </c>
      <c r="H284" s="9" t="s">
        <v>2444</v>
      </c>
      <c r="I284" s="3">
        <v>542903.67173780466</v>
      </c>
      <c r="J284" s="3">
        <v>195823.1424951845</v>
      </c>
      <c r="K284" s="3">
        <f t="shared" si="10"/>
        <v>738726.81423298921</v>
      </c>
      <c r="L284" s="3">
        <f>IFERROR(INDEX('CHIRP Payment Calc'!K:K,MATCH(A:A,'CHIRP Payment Calc'!A:A,0)),0)</f>
        <v>754233.93598898803</v>
      </c>
      <c r="M284" s="3">
        <f t="shared" si="11"/>
        <v>-15507.121755998814</v>
      </c>
    </row>
    <row r="285" spans="1:13">
      <c r="A285" s="9" t="s">
        <v>813</v>
      </c>
      <c r="B285" s="9" t="s">
        <v>1530</v>
      </c>
      <c r="C285" s="9" t="s">
        <v>1550</v>
      </c>
      <c r="D285" s="4" t="s">
        <v>814</v>
      </c>
      <c r="E285" s="14" t="s">
        <v>814</v>
      </c>
      <c r="F285" s="14" t="s">
        <v>815</v>
      </c>
      <c r="G285" s="14" t="s">
        <v>813</v>
      </c>
      <c r="H285" s="9" t="s">
        <v>2443</v>
      </c>
      <c r="I285" s="3">
        <v>113072.77982644046</v>
      </c>
      <c r="J285" s="3">
        <v>52815.162862384474</v>
      </c>
      <c r="K285" s="3">
        <f t="shared" si="10"/>
        <v>165887.94268882493</v>
      </c>
      <c r="L285" s="3">
        <f>IFERROR(INDEX('CHIRP Payment Calc'!K:K,MATCH(A:A,'CHIRP Payment Calc'!A:A,0)),0)</f>
        <v>329979.78558912623</v>
      </c>
      <c r="M285" s="3">
        <f t="shared" si="11"/>
        <v>-164091.8429003013</v>
      </c>
    </row>
    <row r="286" spans="1:13">
      <c r="A286" s="9" t="s">
        <v>1152</v>
      </c>
      <c r="B286" s="9" t="s">
        <v>1530</v>
      </c>
      <c r="C286" s="9" t="s">
        <v>1559</v>
      </c>
      <c r="D286" s="4" t="s">
        <v>1153</v>
      </c>
      <c r="E286" s="14" t="s">
        <v>1153</v>
      </c>
      <c r="F286" s="14" t="s">
        <v>1154</v>
      </c>
      <c r="G286" s="14" t="s">
        <v>1152</v>
      </c>
      <c r="H286" s="9" t="s">
        <v>1619</v>
      </c>
      <c r="I286" s="3">
        <v>21566929.698444266</v>
      </c>
      <c r="J286" s="3">
        <v>11818238.551683938</v>
      </c>
      <c r="K286" s="3">
        <f t="shared" si="10"/>
        <v>33385168.250128202</v>
      </c>
      <c r="L286" s="3">
        <f>IFERROR(INDEX('CHIRP Payment Calc'!K:K,MATCH(A:A,'CHIRP Payment Calc'!A:A,0)),0)</f>
        <v>32063009.684552118</v>
      </c>
      <c r="M286" s="3">
        <f t="shared" si="11"/>
        <v>1322158.565576084</v>
      </c>
    </row>
    <row r="287" spans="1:13">
      <c r="A287" s="9" t="s">
        <v>2193</v>
      </c>
      <c r="B287" s="9" t="s">
        <v>1489</v>
      </c>
      <c r="C287" s="9" t="s">
        <v>2236</v>
      </c>
      <c r="D287" s="4" t="s">
        <v>2194</v>
      </c>
      <c r="E287" s="14" t="s">
        <v>2194</v>
      </c>
      <c r="F287" s="14" t="s">
        <v>2204</v>
      </c>
      <c r="G287" s="14" t="s">
        <v>2193</v>
      </c>
      <c r="H287" s="9" t="s">
        <v>2442</v>
      </c>
      <c r="I287" s="3">
        <v>581622.5779796635</v>
      </c>
      <c r="J287" s="3">
        <v>0</v>
      </c>
      <c r="K287" s="3">
        <f t="shared" si="10"/>
        <v>581622.5779796635</v>
      </c>
      <c r="L287" s="3">
        <f>IFERROR(INDEX('CHIRP Payment Calc'!K:K,MATCH(A:A,'CHIRP Payment Calc'!A:A,0)),0)</f>
        <v>0</v>
      </c>
      <c r="M287" s="3">
        <f t="shared" si="11"/>
        <v>581622.5779796635</v>
      </c>
    </row>
    <row r="288" spans="1:13">
      <c r="A288" s="9" t="s">
        <v>1259</v>
      </c>
      <c r="B288" s="9" t="s">
        <v>1489</v>
      </c>
      <c r="C288" s="9" t="s">
        <v>2236</v>
      </c>
      <c r="D288" s="4" t="s">
        <v>1260</v>
      </c>
      <c r="E288" s="14" t="s">
        <v>1260</v>
      </c>
      <c r="F288" s="14" t="s">
        <v>1261</v>
      </c>
      <c r="G288" s="14" t="s">
        <v>1259</v>
      </c>
      <c r="H288" s="9" t="s">
        <v>2441</v>
      </c>
      <c r="I288" s="3">
        <v>1664901.3700215635</v>
      </c>
      <c r="J288" s="3">
        <v>0</v>
      </c>
      <c r="K288" s="3">
        <f t="shared" si="10"/>
        <v>1664901.3700215635</v>
      </c>
      <c r="L288" s="3">
        <f>IFERROR(INDEX('CHIRP Payment Calc'!K:K,MATCH(A:A,'CHIRP Payment Calc'!A:A,0)),0)</f>
        <v>1571711.0949308933</v>
      </c>
      <c r="M288" s="3">
        <f t="shared" si="11"/>
        <v>93190.275090670213</v>
      </c>
    </row>
    <row r="289" spans="1:13">
      <c r="A289" s="9" t="s">
        <v>1962</v>
      </c>
      <c r="B289" s="9" t="s">
        <v>227</v>
      </c>
      <c r="C289" s="9" t="s">
        <v>1550</v>
      </c>
      <c r="D289" s="4" t="s">
        <v>1963</v>
      </c>
      <c r="E289" s="14" t="s">
        <v>1963</v>
      </c>
      <c r="F289" s="14" t="e">
        <v>#N/A</v>
      </c>
      <c r="G289" s="14" t="s">
        <v>1962</v>
      </c>
      <c r="H289" s="9" t="s">
        <v>2335</v>
      </c>
      <c r="I289" s="3">
        <v>18016.174845078149</v>
      </c>
      <c r="J289" s="3">
        <v>0</v>
      </c>
      <c r="K289" s="3">
        <f t="shared" si="10"/>
        <v>18016.174845078149</v>
      </c>
      <c r="L289" s="3">
        <f>IFERROR(INDEX('CHIRP Payment Calc'!K:K,MATCH(A:A,'CHIRP Payment Calc'!A:A,0)),0)</f>
        <v>0</v>
      </c>
      <c r="M289" s="3">
        <f t="shared" si="11"/>
        <v>18016.174845078149</v>
      </c>
    </row>
    <row r="290" spans="1:13">
      <c r="A290" s="9" t="e">
        <v>#N/A</v>
      </c>
      <c r="B290" s="9" t="s">
        <v>1489</v>
      </c>
      <c r="C290" s="9" t="s">
        <v>222</v>
      </c>
      <c r="D290" s="4" t="s">
        <v>2439</v>
      </c>
      <c r="E290" s="14" t="e">
        <v>#N/A</v>
      </c>
      <c r="F290" s="14" t="e">
        <v>#N/A</v>
      </c>
      <c r="G290" s="14" t="e">
        <v>#N/A</v>
      </c>
      <c r="H290" s="9" t="s">
        <v>2060</v>
      </c>
      <c r="I290" s="3">
        <v>0</v>
      </c>
      <c r="J290" s="3">
        <v>0</v>
      </c>
      <c r="K290" s="3">
        <f t="shared" si="10"/>
        <v>0</v>
      </c>
      <c r="L290" s="3">
        <f>IFERROR(INDEX('CHIRP Payment Calc'!K:K,MATCH(A:A,'CHIRP Payment Calc'!A:A,0)),0)</f>
        <v>0</v>
      </c>
      <c r="M290" s="3">
        <f t="shared" si="11"/>
        <v>0</v>
      </c>
    </row>
    <row r="291" spans="1:13">
      <c r="A291" s="9" t="s">
        <v>983</v>
      </c>
      <c r="B291" s="9" t="s">
        <v>1489</v>
      </c>
      <c r="C291" s="9" t="s">
        <v>222</v>
      </c>
      <c r="D291" s="4" t="s">
        <v>984</v>
      </c>
      <c r="E291" s="14" t="s">
        <v>984</v>
      </c>
      <c r="F291" s="14" t="s">
        <v>985</v>
      </c>
      <c r="G291" s="14" t="s">
        <v>983</v>
      </c>
      <c r="H291" s="9" t="s">
        <v>2438</v>
      </c>
      <c r="I291" s="3">
        <v>4642980.1074892404</v>
      </c>
      <c r="J291" s="3">
        <v>5048232.9710146077</v>
      </c>
      <c r="K291" s="3">
        <f t="shared" si="10"/>
        <v>9691213.0785038471</v>
      </c>
      <c r="L291" s="3">
        <f>IFERROR(INDEX('CHIRP Payment Calc'!K:K,MATCH(A:A,'CHIRP Payment Calc'!A:A,0)),0)</f>
        <v>11638117.876338704</v>
      </c>
      <c r="M291" s="3">
        <f t="shared" si="11"/>
        <v>-1946904.7978348564</v>
      </c>
    </row>
    <row r="292" spans="1:13">
      <c r="A292" s="9" t="s">
        <v>1001</v>
      </c>
      <c r="B292" s="9" t="s">
        <v>1489</v>
      </c>
      <c r="C292" s="9" t="s">
        <v>222</v>
      </c>
      <c r="D292" s="4" t="s">
        <v>1002</v>
      </c>
      <c r="E292" s="14" t="s">
        <v>1002</v>
      </c>
      <c r="F292" s="14" t="s">
        <v>1003</v>
      </c>
      <c r="G292" s="14" t="s">
        <v>1001</v>
      </c>
      <c r="H292" s="9" t="s">
        <v>1003</v>
      </c>
      <c r="I292" s="3">
        <v>4107239.5974255716</v>
      </c>
      <c r="J292" s="3">
        <v>2093939.5822948362</v>
      </c>
      <c r="K292" s="3">
        <f t="shared" si="10"/>
        <v>6201179.1797204074</v>
      </c>
      <c r="L292" s="3">
        <f>IFERROR(INDEX('CHIRP Payment Calc'!K:K,MATCH(A:A,'CHIRP Payment Calc'!A:A,0)),0)</f>
        <v>9584719.5329693258</v>
      </c>
      <c r="M292" s="3">
        <f t="shared" si="11"/>
        <v>-3383540.3532489184</v>
      </c>
    </row>
    <row r="293" spans="1:13">
      <c r="A293" s="9" t="s">
        <v>2061</v>
      </c>
      <c r="B293" s="9" t="s">
        <v>1489</v>
      </c>
      <c r="C293" s="9" t="s">
        <v>222</v>
      </c>
      <c r="D293" s="4" t="s">
        <v>2063</v>
      </c>
      <c r="E293" s="14" t="s">
        <v>2063</v>
      </c>
      <c r="F293" s="14" t="s">
        <v>2060</v>
      </c>
      <c r="G293" s="14" t="s">
        <v>2061</v>
      </c>
      <c r="H293" s="9" t="s">
        <v>2060</v>
      </c>
      <c r="I293" s="3">
        <v>518463.84957458341</v>
      </c>
      <c r="J293" s="3">
        <v>848794.87115640775</v>
      </c>
      <c r="K293" s="3">
        <f t="shared" si="10"/>
        <v>1367258.7207309911</v>
      </c>
      <c r="L293" s="3">
        <f>IFERROR(INDEX('CHIRP Payment Calc'!K:K,MATCH(A:A,'CHIRP Payment Calc'!A:A,0)),0)</f>
        <v>0</v>
      </c>
      <c r="M293" s="3">
        <f t="shared" si="11"/>
        <v>1367258.7207309911</v>
      </c>
    </row>
    <row r="294" spans="1:13">
      <c r="A294" s="9" t="s">
        <v>1010</v>
      </c>
      <c r="B294" s="9" t="s">
        <v>1489</v>
      </c>
      <c r="C294" s="9" t="s">
        <v>222</v>
      </c>
      <c r="D294" s="4" t="s">
        <v>1011</v>
      </c>
      <c r="E294" s="14" t="s">
        <v>1011</v>
      </c>
      <c r="F294" s="14" t="s">
        <v>1012</v>
      </c>
      <c r="G294" s="14" t="s">
        <v>1010</v>
      </c>
      <c r="H294" s="9" t="s">
        <v>2437</v>
      </c>
      <c r="I294" s="3">
        <v>41915165.55581975</v>
      </c>
      <c r="J294" s="3">
        <v>23540180.050262332</v>
      </c>
      <c r="K294" s="3">
        <f t="shared" si="10"/>
        <v>65455345.606082082</v>
      </c>
      <c r="L294" s="3">
        <f>IFERROR(INDEX('CHIRP Payment Calc'!K:K,MATCH(A:A,'CHIRP Payment Calc'!A:A,0)),0)</f>
        <v>72176245.94227694</v>
      </c>
      <c r="M294" s="3">
        <f t="shared" si="11"/>
        <v>-6720900.336194858</v>
      </c>
    </row>
    <row r="295" spans="1:13">
      <c r="A295" s="9" t="s">
        <v>1616</v>
      </c>
      <c r="B295" s="9" t="s">
        <v>310</v>
      </c>
      <c r="C295" s="9" t="s">
        <v>1608</v>
      </c>
      <c r="D295" s="4" t="s">
        <v>1618</v>
      </c>
      <c r="E295" s="14" t="s">
        <v>1618</v>
      </c>
      <c r="F295" s="14" t="e">
        <v>#N/A</v>
      </c>
      <c r="G295" s="14" t="s">
        <v>1616</v>
      </c>
      <c r="H295" s="9" t="s">
        <v>2378</v>
      </c>
      <c r="I295" s="3">
        <v>705623.8059892942</v>
      </c>
      <c r="J295" s="3">
        <v>3231017.1790430392</v>
      </c>
      <c r="K295" s="3">
        <f t="shared" si="10"/>
        <v>3936640.9850323335</v>
      </c>
      <c r="L295" s="3">
        <f>IFERROR(INDEX('CHIRP Payment Calc'!K:K,MATCH(A:A,'CHIRP Payment Calc'!A:A,0)),0)</f>
        <v>9747075.9740912132</v>
      </c>
      <c r="M295" s="3">
        <f t="shared" si="11"/>
        <v>-5810434.9890588801</v>
      </c>
    </row>
    <row r="296" spans="1:13">
      <c r="A296" s="9" t="s">
        <v>886</v>
      </c>
      <c r="B296" s="9" t="s">
        <v>1489</v>
      </c>
      <c r="C296" s="9" t="s">
        <v>222</v>
      </c>
      <c r="D296" s="4" t="s">
        <v>887</v>
      </c>
      <c r="E296" s="14" t="s">
        <v>887</v>
      </c>
      <c r="F296" s="14" t="s">
        <v>888</v>
      </c>
      <c r="G296" s="14" t="s">
        <v>886</v>
      </c>
      <c r="H296" s="9" t="s">
        <v>2436</v>
      </c>
      <c r="I296" s="3">
        <v>5438461.8911098223</v>
      </c>
      <c r="J296" s="3">
        <v>2405628.4099425836</v>
      </c>
      <c r="K296" s="3">
        <f t="shared" si="10"/>
        <v>7844090.3010524064</v>
      </c>
      <c r="L296" s="3">
        <f>IFERROR(INDEX('CHIRP Payment Calc'!K:K,MATCH(A:A,'CHIRP Payment Calc'!A:A,0)),0)</f>
        <v>8033375.1961337822</v>
      </c>
      <c r="M296" s="3">
        <f t="shared" si="11"/>
        <v>-189284.89508137573</v>
      </c>
    </row>
    <row r="297" spans="1:13">
      <c r="A297" s="9" t="s">
        <v>43</v>
      </c>
      <c r="B297" s="9" t="s">
        <v>1489</v>
      </c>
      <c r="C297" s="9" t="s">
        <v>222</v>
      </c>
      <c r="D297" s="4" t="s">
        <v>44</v>
      </c>
      <c r="E297" s="14" t="s">
        <v>44</v>
      </c>
      <c r="F297" s="14" t="s">
        <v>45</v>
      </c>
      <c r="G297" s="14" t="s">
        <v>43</v>
      </c>
      <c r="H297" s="9" t="s">
        <v>2435</v>
      </c>
      <c r="I297" s="3">
        <v>173.08225770657069</v>
      </c>
      <c r="J297" s="3">
        <v>3127.5858901756687</v>
      </c>
      <c r="K297" s="3">
        <f t="shared" si="10"/>
        <v>3300.6681478822393</v>
      </c>
      <c r="L297" s="3">
        <f>IFERROR(INDEX('CHIRP Payment Calc'!K:K,MATCH(A:A,'CHIRP Payment Calc'!A:A,0)),0)</f>
        <v>0</v>
      </c>
      <c r="M297" s="3">
        <f t="shared" si="11"/>
        <v>3300.6681478822393</v>
      </c>
    </row>
    <row r="298" spans="1:13">
      <c r="A298" s="9" t="s">
        <v>750</v>
      </c>
      <c r="B298" s="9" t="s">
        <v>1489</v>
      </c>
      <c r="C298" s="9" t="s">
        <v>222</v>
      </c>
      <c r="D298" s="4" t="s">
        <v>751</v>
      </c>
      <c r="E298" s="14" t="s">
        <v>751</v>
      </c>
      <c r="F298" s="14" t="s">
        <v>752</v>
      </c>
      <c r="G298" s="14" t="s">
        <v>750</v>
      </c>
      <c r="H298" s="9" t="s">
        <v>2434</v>
      </c>
      <c r="I298" s="3">
        <v>4013904.1822172455</v>
      </c>
      <c r="J298" s="3">
        <v>1373674.4565468866</v>
      </c>
      <c r="K298" s="3">
        <f t="shared" si="10"/>
        <v>5387578.6387641318</v>
      </c>
      <c r="L298" s="3">
        <f>IFERROR(INDEX('CHIRP Payment Calc'!K:K,MATCH(A:A,'CHIRP Payment Calc'!A:A,0)),0)</f>
        <v>6409383.0147094512</v>
      </c>
      <c r="M298" s="3">
        <f t="shared" si="11"/>
        <v>-1021804.3759453194</v>
      </c>
    </row>
    <row r="299" spans="1:13">
      <c r="A299" s="9" t="s">
        <v>2800</v>
      </c>
      <c r="C299" s="9" t="s">
        <v>2236</v>
      </c>
      <c r="D299" s="4" t="s">
        <v>2240</v>
      </c>
      <c r="E299" s="14" t="s">
        <v>2800</v>
      </c>
      <c r="F299" s="14" t="e">
        <v>#N/A</v>
      </c>
      <c r="G299" s="14" t="s">
        <v>2800</v>
      </c>
      <c r="H299" s="9" t="s">
        <v>2239</v>
      </c>
      <c r="I299" s="3">
        <v>843613.62284534564</v>
      </c>
      <c r="J299" s="3">
        <v>0</v>
      </c>
      <c r="K299" s="3">
        <f t="shared" si="10"/>
        <v>843613.62284534564</v>
      </c>
      <c r="L299" s="3">
        <f>IFERROR(INDEX('CHIRP Payment Calc'!K:K,MATCH(A:A,'CHIRP Payment Calc'!A:A,0)),0)</f>
        <v>0</v>
      </c>
      <c r="M299" s="3">
        <f t="shared" si="11"/>
        <v>843613.62284534564</v>
      </c>
    </row>
    <row r="300" spans="1:13">
      <c r="A300" s="9" t="s">
        <v>1514</v>
      </c>
      <c r="B300" s="9" t="s">
        <v>1489</v>
      </c>
      <c r="C300" s="9" t="s">
        <v>222</v>
      </c>
      <c r="D300" s="4" t="s">
        <v>1515</v>
      </c>
      <c r="E300" s="14" t="s">
        <v>1515</v>
      </c>
      <c r="F300" s="14" t="s">
        <v>1516</v>
      </c>
      <c r="G300" s="14" t="s">
        <v>1514</v>
      </c>
      <c r="H300" s="9" t="s">
        <v>2432</v>
      </c>
      <c r="I300" s="3">
        <v>19882.357711723798</v>
      </c>
      <c r="J300" s="3">
        <v>125127.17178941591</v>
      </c>
      <c r="K300" s="3">
        <f t="shared" si="10"/>
        <v>145009.52950113971</v>
      </c>
      <c r="L300" s="3">
        <f>IFERROR(INDEX('CHIRP Payment Calc'!K:K,MATCH(A:A,'CHIRP Payment Calc'!A:A,0)),0)</f>
        <v>510734.16508187284</v>
      </c>
      <c r="M300" s="3">
        <f t="shared" si="11"/>
        <v>-365724.63558073313</v>
      </c>
    </row>
    <row r="301" spans="1:13">
      <c r="A301" s="9" t="s">
        <v>995</v>
      </c>
      <c r="B301" s="9" t="s">
        <v>1489</v>
      </c>
      <c r="C301" s="9" t="s">
        <v>222</v>
      </c>
      <c r="D301" s="4" t="s">
        <v>996</v>
      </c>
      <c r="E301" s="14" t="s">
        <v>996</v>
      </c>
      <c r="F301" s="14" t="s">
        <v>997</v>
      </c>
      <c r="G301" s="14" t="s">
        <v>995</v>
      </c>
      <c r="H301" s="9" t="s">
        <v>1753</v>
      </c>
      <c r="I301" s="3">
        <v>5798591.1754025333</v>
      </c>
      <c r="J301" s="3">
        <v>5626779.5684574097</v>
      </c>
      <c r="K301" s="3">
        <f t="shared" si="10"/>
        <v>11425370.743859943</v>
      </c>
      <c r="L301" s="3">
        <f>IFERROR(INDEX('CHIRP Payment Calc'!K:K,MATCH(A:A,'CHIRP Payment Calc'!A:A,0)),0)</f>
        <v>14744380.688918414</v>
      </c>
      <c r="M301" s="3">
        <f t="shared" si="11"/>
        <v>-3319009.9450584706</v>
      </c>
    </row>
    <row r="302" spans="1:13">
      <c r="A302" s="9" t="s">
        <v>1487</v>
      </c>
      <c r="B302" s="9" t="s">
        <v>1489</v>
      </c>
      <c r="C302" s="9" t="s">
        <v>1481</v>
      </c>
      <c r="D302" s="4" t="s">
        <v>915</v>
      </c>
      <c r="E302" s="14" t="s">
        <v>915</v>
      </c>
      <c r="F302" s="14" t="s">
        <v>916</v>
      </c>
      <c r="G302" s="14" t="s">
        <v>914</v>
      </c>
      <c r="H302" s="9" t="s">
        <v>2431</v>
      </c>
      <c r="I302" s="3">
        <v>912256.89023294509</v>
      </c>
      <c r="J302" s="3">
        <v>416137.52385825902</v>
      </c>
      <c r="K302" s="3">
        <f t="shared" si="10"/>
        <v>1328394.4140912041</v>
      </c>
      <c r="L302" s="3">
        <f>IFERROR(INDEX('CHIRP Payment Calc'!K:K,MATCH(A:A,'CHIRP Payment Calc'!A:A,0)),0)</f>
        <v>2882610.7347700307</v>
      </c>
      <c r="M302" s="3">
        <f t="shared" si="11"/>
        <v>-1554216.3206788267</v>
      </c>
    </row>
    <row r="303" spans="1:13">
      <c r="A303" s="9" t="s">
        <v>1013</v>
      </c>
      <c r="B303" s="9" t="s">
        <v>1489</v>
      </c>
      <c r="C303" s="9" t="s">
        <v>1481</v>
      </c>
      <c r="D303" s="4" t="s">
        <v>1014</v>
      </c>
      <c r="E303" s="14" t="s">
        <v>1014</v>
      </c>
      <c r="F303" s="14" t="s">
        <v>1015</v>
      </c>
      <c r="G303" s="14" t="s">
        <v>1013</v>
      </c>
      <c r="H303" s="9" t="s">
        <v>2430</v>
      </c>
      <c r="I303" s="3">
        <v>1260375.0494781735</v>
      </c>
      <c r="J303" s="3">
        <v>808060.75542203593</v>
      </c>
      <c r="K303" s="3">
        <f t="shared" si="10"/>
        <v>2068435.8049002094</v>
      </c>
      <c r="L303" s="3">
        <f>IFERROR(INDEX('CHIRP Payment Calc'!K:K,MATCH(A:A,'CHIRP Payment Calc'!A:A,0)),0)</f>
        <v>3486852.7321588146</v>
      </c>
      <c r="M303" s="3">
        <f t="shared" si="11"/>
        <v>-1418416.9272586051</v>
      </c>
    </row>
    <row r="304" spans="1:13">
      <c r="A304" s="9" t="s">
        <v>725</v>
      </c>
      <c r="B304" s="9" t="s">
        <v>1489</v>
      </c>
      <c r="C304" s="9" t="s">
        <v>1481</v>
      </c>
      <c r="D304" s="4" t="s">
        <v>726</v>
      </c>
      <c r="E304" s="14" t="s">
        <v>726</v>
      </c>
      <c r="F304" s="14" t="s">
        <v>727</v>
      </c>
      <c r="G304" s="14" t="s">
        <v>725</v>
      </c>
      <c r="H304" s="9" t="s">
        <v>1968</v>
      </c>
      <c r="I304" s="3">
        <v>368406.76492578047</v>
      </c>
      <c r="J304" s="3">
        <v>175806.38839404582</v>
      </c>
      <c r="K304" s="3">
        <f t="shared" si="10"/>
        <v>544213.15331982635</v>
      </c>
      <c r="L304" s="3">
        <f>IFERROR(INDEX('CHIRP Payment Calc'!K:K,MATCH(A:A,'CHIRP Payment Calc'!A:A,0)),0)</f>
        <v>955591.62466380897</v>
      </c>
      <c r="M304" s="3">
        <f t="shared" si="11"/>
        <v>-411378.47134398262</v>
      </c>
    </row>
    <row r="305" spans="1:13">
      <c r="A305" s="9" t="s">
        <v>545</v>
      </c>
      <c r="B305" s="9" t="s">
        <v>1489</v>
      </c>
      <c r="C305" s="9" t="s">
        <v>1481</v>
      </c>
      <c r="D305" s="4" t="s">
        <v>546</v>
      </c>
      <c r="E305" s="14" t="s">
        <v>546</v>
      </c>
      <c r="F305" s="14" t="s">
        <v>547</v>
      </c>
      <c r="G305" s="14" t="s">
        <v>545</v>
      </c>
      <c r="H305" s="9" t="s">
        <v>2429</v>
      </c>
      <c r="I305" s="3">
        <v>112949.76048118617</v>
      </c>
      <c r="J305" s="3">
        <v>151571.24406484253</v>
      </c>
      <c r="K305" s="3">
        <f t="shared" si="10"/>
        <v>264521.00454602868</v>
      </c>
      <c r="L305" s="3">
        <f>IFERROR(INDEX('CHIRP Payment Calc'!K:K,MATCH(A:A,'CHIRP Payment Calc'!A:A,0)),0)</f>
        <v>588893.63666211301</v>
      </c>
      <c r="M305" s="3">
        <f t="shared" si="11"/>
        <v>-324372.63211608434</v>
      </c>
    </row>
    <row r="306" spans="1:13">
      <c r="A306" s="9" t="s">
        <v>1758</v>
      </c>
      <c r="B306" s="9" t="s">
        <v>1489</v>
      </c>
      <c r="C306" s="9" t="s">
        <v>1481</v>
      </c>
      <c r="D306" s="4" t="s">
        <v>1759</v>
      </c>
      <c r="E306" s="14" t="s">
        <v>1759</v>
      </c>
      <c r="F306" s="14" t="e">
        <v>#N/A</v>
      </c>
      <c r="G306" s="14" t="s">
        <v>1758</v>
      </c>
      <c r="H306" s="9" t="s">
        <v>2428</v>
      </c>
      <c r="I306" s="3">
        <v>0</v>
      </c>
      <c r="J306" s="3">
        <v>0</v>
      </c>
      <c r="K306" s="3">
        <f t="shared" si="10"/>
        <v>0</v>
      </c>
      <c r="L306" s="3">
        <f>IFERROR(INDEX('CHIRP Payment Calc'!K:K,MATCH(A:A,'CHIRP Payment Calc'!A:A,0)),0)</f>
        <v>0</v>
      </c>
      <c r="M306" s="3">
        <f t="shared" si="11"/>
        <v>0</v>
      </c>
    </row>
    <row r="307" spans="1:13">
      <c r="A307" s="9" t="s">
        <v>371</v>
      </c>
      <c r="B307" s="9" t="s">
        <v>1489</v>
      </c>
      <c r="C307" s="9" t="s">
        <v>1481</v>
      </c>
      <c r="D307" s="4" t="s">
        <v>372</v>
      </c>
      <c r="E307" s="14" t="s">
        <v>372</v>
      </c>
      <c r="F307" s="14" t="s">
        <v>373</v>
      </c>
      <c r="G307" s="14" t="s">
        <v>371</v>
      </c>
      <c r="H307" s="9" t="s">
        <v>2427</v>
      </c>
      <c r="I307" s="3">
        <v>254825.00262315501</v>
      </c>
      <c r="J307" s="3">
        <v>133765.52133472444</v>
      </c>
      <c r="K307" s="3">
        <f t="shared" si="10"/>
        <v>388590.52395787946</v>
      </c>
      <c r="L307" s="3">
        <f>IFERROR(INDEX('CHIRP Payment Calc'!K:K,MATCH(A:A,'CHIRP Payment Calc'!A:A,0)),0)</f>
        <v>0</v>
      </c>
      <c r="M307" s="3">
        <f t="shared" si="11"/>
        <v>388590.52395787946</v>
      </c>
    </row>
    <row r="308" spans="1:13">
      <c r="A308" s="9" t="s">
        <v>2046</v>
      </c>
      <c r="B308" s="9" t="s">
        <v>1489</v>
      </c>
      <c r="C308" s="9" t="s">
        <v>1481</v>
      </c>
      <c r="D308" s="4" t="s">
        <v>2048</v>
      </c>
      <c r="E308" s="14" t="s">
        <v>2048</v>
      </c>
      <c r="F308" s="14" t="s">
        <v>2200</v>
      </c>
      <c r="G308" s="14" t="s">
        <v>2046</v>
      </c>
      <c r="H308" s="9" t="s">
        <v>2200</v>
      </c>
      <c r="I308" s="3">
        <v>249853.08289036312</v>
      </c>
      <c r="J308" s="3">
        <v>238658.89959904191</v>
      </c>
      <c r="K308" s="3">
        <f t="shared" si="10"/>
        <v>488511.98248940503</v>
      </c>
      <c r="L308" s="3">
        <f>IFERROR(INDEX('CHIRP Payment Calc'!K:K,MATCH(A:A,'CHIRP Payment Calc'!A:A,0)),0)</f>
        <v>666480.6593990057</v>
      </c>
      <c r="M308" s="3">
        <f t="shared" si="11"/>
        <v>-177968.67690960068</v>
      </c>
    </row>
    <row r="309" spans="1:13">
      <c r="A309" s="9" t="s">
        <v>962</v>
      </c>
      <c r="B309" s="9" t="s">
        <v>1489</v>
      </c>
      <c r="C309" s="9" t="s">
        <v>1481</v>
      </c>
      <c r="D309" s="4" t="s">
        <v>963</v>
      </c>
      <c r="E309" s="14" t="s">
        <v>963</v>
      </c>
      <c r="F309" s="14" t="s">
        <v>964</v>
      </c>
      <c r="G309" s="14" t="s">
        <v>962</v>
      </c>
      <c r="H309" s="9" t="s">
        <v>1790</v>
      </c>
      <c r="I309" s="3">
        <v>543166.04393519624</v>
      </c>
      <c r="J309" s="3">
        <v>279534.86499416851</v>
      </c>
      <c r="K309" s="3">
        <f t="shared" si="10"/>
        <v>822700.90892936476</v>
      </c>
      <c r="L309" s="3">
        <f>IFERROR(INDEX('CHIRP Payment Calc'!K:K,MATCH(A:A,'CHIRP Payment Calc'!A:A,0)),0)</f>
        <v>1037709.3871532783</v>
      </c>
      <c r="M309" s="3">
        <f t="shared" si="11"/>
        <v>-215008.47822391358</v>
      </c>
    </row>
    <row r="310" spans="1:13">
      <c r="A310" s="9" t="s">
        <v>753</v>
      </c>
      <c r="B310" s="9" t="s">
        <v>1489</v>
      </c>
      <c r="C310" s="9" t="s">
        <v>1481</v>
      </c>
      <c r="D310" s="4" t="s">
        <v>754</v>
      </c>
      <c r="E310" s="14" t="s">
        <v>754</v>
      </c>
      <c r="F310" s="14" t="s">
        <v>755</v>
      </c>
      <c r="G310" s="14" t="s">
        <v>753</v>
      </c>
      <c r="H310" s="9" t="s">
        <v>2426</v>
      </c>
      <c r="I310" s="3">
        <v>1335291.8891015921</v>
      </c>
      <c r="J310" s="3">
        <v>389795.87805089168</v>
      </c>
      <c r="K310" s="3">
        <f t="shared" si="10"/>
        <v>1725087.7671524838</v>
      </c>
      <c r="L310" s="3">
        <f>IFERROR(INDEX('CHIRP Payment Calc'!K:K,MATCH(A:A,'CHIRP Payment Calc'!A:A,0)),0)</f>
        <v>2450046.1193007682</v>
      </c>
      <c r="M310" s="3">
        <f t="shared" si="11"/>
        <v>-724958.35214828444</v>
      </c>
    </row>
    <row r="311" spans="1:13">
      <c r="A311" s="9" t="s">
        <v>1890</v>
      </c>
      <c r="B311" s="9" t="s">
        <v>1489</v>
      </c>
      <c r="C311" s="9" t="s">
        <v>1481</v>
      </c>
      <c r="D311" s="4" t="s">
        <v>1891</v>
      </c>
      <c r="E311" s="14" t="s">
        <v>1891</v>
      </c>
      <c r="F311" s="14" t="e">
        <v>#N/A</v>
      </c>
      <c r="G311" s="14" t="s">
        <v>1890</v>
      </c>
      <c r="H311" s="9" t="s">
        <v>1889</v>
      </c>
      <c r="I311" s="3">
        <v>0</v>
      </c>
      <c r="J311" s="3">
        <v>0</v>
      </c>
      <c r="K311" s="3">
        <f t="shared" si="10"/>
        <v>0</v>
      </c>
      <c r="L311" s="3">
        <f>IFERROR(INDEX('CHIRP Payment Calc'!K:K,MATCH(A:A,'CHIRP Payment Calc'!A:A,0)),0)</f>
        <v>0</v>
      </c>
      <c r="M311" s="3">
        <f t="shared" si="11"/>
        <v>0</v>
      </c>
    </row>
    <row r="312" spans="1:13">
      <c r="A312" s="9" t="s">
        <v>76</v>
      </c>
      <c r="B312" s="9" t="s">
        <v>1489</v>
      </c>
      <c r="C312" s="9" t="s">
        <v>1481</v>
      </c>
      <c r="D312" s="4" t="s">
        <v>77</v>
      </c>
      <c r="E312" s="14" t="s">
        <v>77</v>
      </c>
      <c r="F312" s="14" t="s">
        <v>78</v>
      </c>
      <c r="G312" s="14" t="s">
        <v>76</v>
      </c>
      <c r="H312" s="9" t="s">
        <v>2425</v>
      </c>
      <c r="I312" s="3">
        <v>1091797.4669126451</v>
      </c>
      <c r="J312" s="3">
        <v>176533.56761278075</v>
      </c>
      <c r="K312" s="3">
        <f t="shared" si="10"/>
        <v>1268331.0345254259</v>
      </c>
      <c r="L312" s="3">
        <f>IFERROR(INDEX('CHIRP Payment Calc'!K:K,MATCH(A:A,'CHIRP Payment Calc'!A:A,0)),0)</f>
        <v>2189085.3600511313</v>
      </c>
      <c r="M312" s="3">
        <f t="shared" si="11"/>
        <v>-920754.32552570547</v>
      </c>
    </row>
    <row r="313" spans="1:13">
      <c r="A313" s="9" t="s">
        <v>542</v>
      </c>
      <c r="B313" s="9" t="s">
        <v>1489</v>
      </c>
      <c r="C313" s="9" t="s">
        <v>1481</v>
      </c>
      <c r="D313" s="4" t="s">
        <v>543</v>
      </c>
      <c r="E313" s="14" t="s">
        <v>543</v>
      </c>
      <c r="F313" s="14" t="s">
        <v>544</v>
      </c>
      <c r="G313" s="14" t="s">
        <v>542</v>
      </c>
      <c r="H313" s="9" t="s">
        <v>2424</v>
      </c>
      <c r="I313" s="3">
        <v>292668.74551867094</v>
      </c>
      <c r="J313" s="3">
        <v>191242.77363600905</v>
      </c>
      <c r="K313" s="3">
        <f t="shared" si="10"/>
        <v>483911.51915467996</v>
      </c>
      <c r="L313" s="3">
        <f>IFERROR(INDEX('CHIRP Payment Calc'!K:K,MATCH(A:A,'CHIRP Payment Calc'!A:A,0)),0)</f>
        <v>995550.68807677238</v>
      </c>
      <c r="M313" s="3">
        <f t="shared" si="11"/>
        <v>-511639.16892209242</v>
      </c>
    </row>
    <row r="314" spans="1:13">
      <c r="A314" s="9" t="s">
        <v>279</v>
      </c>
      <c r="B314" s="9" t="s">
        <v>1489</v>
      </c>
      <c r="C314" s="9" t="s">
        <v>1481</v>
      </c>
      <c r="D314" s="4" t="s">
        <v>280</v>
      </c>
      <c r="E314" s="14" t="s">
        <v>280</v>
      </c>
      <c r="F314" s="14" t="s">
        <v>281</v>
      </c>
      <c r="G314" s="14" t="s">
        <v>279</v>
      </c>
      <c r="H314" s="9" t="s">
        <v>2423</v>
      </c>
      <c r="I314" s="3">
        <v>313048.61270622024</v>
      </c>
      <c r="J314" s="3">
        <v>130002.98594222688</v>
      </c>
      <c r="K314" s="3">
        <f t="shared" si="10"/>
        <v>443051.59864844714</v>
      </c>
      <c r="L314" s="3">
        <f>IFERROR(INDEX('CHIRP Payment Calc'!K:K,MATCH(A:A,'CHIRP Payment Calc'!A:A,0)),0)</f>
        <v>1247908.1963169631</v>
      </c>
      <c r="M314" s="3">
        <f t="shared" si="11"/>
        <v>-804856.59766851598</v>
      </c>
    </row>
    <row r="315" spans="1:13">
      <c r="A315" s="9" t="s">
        <v>816</v>
      </c>
      <c r="B315" s="9" t="s">
        <v>1489</v>
      </c>
      <c r="C315" s="9" t="s">
        <v>1481</v>
      </c>
      <c r="D315" s="4" t="s">
        <v>817</v>
      </c>
      <c r="E315" s="14" t="s">
        <v>817</v>
      </c>
      <c r="F315" s="14" t="s">
        <v>818</v>
      </c>
      <c r="G315" s="14" t="s">
        <v>816</v>
      </c>
      <c r="H315" s="9" t="s">
        <v>1883</v>
      </c>
      <c r="I315" s="3">
        <v>551902.54268797126</v>
      </c>
      <c r="J315" s="3">
        <v>150271.80577513209</v>
      </c>
      <c r="K315" s="3">
        <f t="shared" si="10"/>
        <v>702174.34846310341</v>
      </c>
      <c r="L315" s="3">
        <f>IFERROR(INDEX('CHIRP Payment Calc'!K:K,MATCH(A:A,'CHIRP Payment Calc'!A:A,0)),0)</f>
        <v>942926.15457758028</v>
      </c>
      <c r="M315" s="3">
        <f t="shared" si="11"/>
        <v>-240751.80611447687</v>
      </c>
    </row>
    <row r="316" spans="1:13">
      <c r="A316" s="9" t="s">
        <v>707</v>
      </c>
      <c r="B316" s="9" t="s">
        <v>1489</v>
      </c>
      <c r="C316" s="9" t="s">
        <v>1481</v>
      </c>
      <c r="D316" s="4" t="s">
        <v>708</v>
      </c>
      <c r="E316" s="14" t="s">
        <v>708</v>
      </c>
      <c r="F316" s="14" t="s">
        <v>709</v>
      </c>
      <c r="G316" s="14" t="s">
        <v>707</v>
      </c>
      <c r="H316" s="9" t="s">
        <v>1987</v>
      </c>
      <c r="I316" s="3">
        <v>261883.58096322443</v>
      </c>
      <c r="J316" s="3">
        <v>265072.62522249238</v>
      </c>
      <c r="K316" s="3">
        <f t="shared" si="10"/>
        <v>526956.20618571679</v>
      </c>
      <c r="L316" s="3">
        <f>IFERROR(INDEX('CHIRP Payment Calc'!K:K,MATCH(A:A,'CHIRP Payment Calc'!A:A,0)),0)</f>
        <v>0</v>
      </c>
      <c r="M316" s="3">
        <f t="shared" si="11"/>
        <v>526956.20618571679</v>
      </c>
    </row>
    <row r="317" spans="1:13">
      <c r="A317" s="9" t="s">
        <v>1107</v>
      </c>
      <c r="B317" s="9" t="s">
        <v>1489</v>
      </c>
      <c r="C317" s="9" t="s">
        <v>1481</v>
      </c>
      <c r="D317" s="4" t="s">
        <v>1108</v>
      </c>
      <c r="E317" s="14" t="s">
        <v>1108</v>
      </c>
      <c r="F317" s="14" t="s">
        <v>1109</v>
      </c>
      <c r="G317" s="14" t="s">
        <v>1107</v>
      </c>
      <c r="H317" s="9" t="s">
        <v>2422</v>
      </c>
      <c r="I317" s="3">
        <v>1756400.5873024163</v>
      </c>
      <c r="J317" s="3">
        <v>766551.74168372434</v>
      </c>
      <c r="K317" s="3">
        <f t="shared" si="10"/>
        <v>2522952.3289861409</v>
      </c>
      <c r="L317" s="3">
        <f>IFERROR(INDEX('CHIRP Payment Calc'!K:K,MATCH(A:A,'CHIRP Payment Calc'!A:A,0)),0)</f>
        <v>4628392.5304520614</v>
      </c>
      <c r="M317" s="3">
        <f t="shared" si="11"/>
        <v>-2105440.2014659205</v>
      </c>
    </row>
    <row r="318" spans="1:13">
      <c r="A318" s="9" t="s">
        <v>768</v>
      </c>
      <c r="B318" s="9" t="s">
        <v>1489</v>
      </c>
      <c r="C318" s="9" t="s">
        <v>1550</v>
      </c>
      <c r="D318" s="4" t="s">
        <v>769</v>
      </c>
      <c r="E318" s="14" t="s">
        <v>769</v>
      </c>
      <c r="F318" s="14" t="s">
        <v>770</v>
      </c>
      <c r="G318" s="14" t="s">
        <v>768</v>
      </c>
      <c r="H318" s="9" t="s">
        <v>2421</v>
      </c>
      <c r="I318" s="3">
        <v>492480.91654727765</v>
      </c>
      <c r="J318" s="3">
        <v>140232.03255222391</v>
      </c>
      <c r="K318" s="3">
        <f t="shared" si="10"/>
        <v>632712.94909950159</v>
      </c>
      <c r="L318" s="3">
        <f>IFERROR(INDEX('CHIRP Payment Calc'!K:K,MATCH(A:A,'CHIRP Payment Calc'!A:A,0)),0)</f>
        <v>1400482.686910277</v>
      </c>
      <c r="M318" s="3">
        <f t="shared" si="11"/>
        <v>-767769.7378107754</v>
      </c>
    </row>
    <row r="319" spans="1:13">
      <c r="A319" s="9" t="s">
        <v>2496</v>
      </c>
      <c r="B319" s="9" t="s">
        <v>1517</v>
      </c>
      <c r="C319" s="9" t="s">
        <v>2236</v>
      </c>
      <c r="D319" s="4" t="s">
        <v>2497</v>
      </c>
      <c r="E319" s="14" t="s">
        <v>2787</v>
      </c>
      <c r="F319" s="14" t="e">
        <v>#N/A</v>
      </c>
      <c r="G319" s="14" t="s">
        <v>2496</v>
      </c>
      <c r="H319" s="9" t="s">
        <v>2495</v>
      </c>
      <c r="I319" s="3">
        <v>0</v>
      </c>
      <c r="J319" s="3">
        <v>0</v>
      </c>
      <c r="K319" s="3">
        <f t="shared" si="10"/>
        <v>0</v>
      </c>
      <c r="L319" s="3">
        <f>IFERROR(INDEX('CHIRP Payment Calc'!K:K,MATCH(A:A,'CHIRP Payment Calc'!A:A,0)),0)</f>
        <v>8586.3988397434005</v>
      </c>
      <c r="M319" s="3">
        <f t="shared" si="11"/>
        <v>-8586.3988397434005</v>
      </c>
    </row>
    <row r="320" spans="1:13">
      <c r="A320" s="9" t="s">
        <v>159</v>
      </c>
      <c r="B320" s="9" t="s">
        <v>1489</v>
      </c>
      <c r="C320" s="9" t="s">
        <v>1550</v>
      </c>
      <c r="D320" s="4" t="s">
        <v>160</v>
      </c>
      <c r="E320" s="14" t="s">
        <v>160</v>
      </c>
      <c r="F320" s="14" t="s">
        <v>161</v>
      </c>
      <c r="G320" s="14" t="s">
        <v>159</v>
      </c>
      <c r="H320" s="9" t="s">
        <v>2419</v>
      </c>
      <c r="I320" s="3">
        <v>330433.93565917155</v>
      </c>
      <c r="J320" s="3">
        <v>316216.48456009908</v>
      </c>
      <c r="K320" s="3">
        <f t="shared" si="10"/>
        <v>646650.42021927063</v>
      </c>
      <c r="L320" s="3">
        <f>IFERROR(INDEX('CHIRP Payment Calc'!K:K,MATCH(A:A,'CHIRP Payment Calc'!A:A,0)),0)</f>
        <v>0</v>
      </c>
      <c r="M320" s="3">
        <f t="shared" si="11"/>
        <v>646650.42021927063</v>
      </c>
    </row>
    <row r="321" spans="1:13">
      <c r="A321" s="9" t="s">
        <v>97</v>
      </c>
      <c r="B321" s="9" t="s">
        <v>1489</v>
      </c>
      <c r="C321" s="9" t="s">
        <v>1550</v>
      </c>
      <c r="D321" s="4" t="s">
        <v>98</v>
      </c>
      <c r="E321" s="14" t="s">
        <v>98</v>
      </c>
      <c r="F321" s="14" t="s">
        <v>99</v>
      </c>
      <c r="G321" s="14" t="s">
        <v>97</v>
      </c>
      <c r="H321" s="9" t="s">
        <v>2020</v>
      </c>
      <c r="I321" s="3">
        <v>1246820.7021018348</v>
      </c>
      <c r="J321" s="3">
        <v>523841.01216475753</v>
      </c>
      <c r="K321" s="3">
        <f t="shared" si="10"/>
        <v>1770661.7142665924</v>
      </c>
      <c r="L321" s="3">
        <f>IFERROR(INDEX('CHIRP Payment Calc'!K:K,MATCH(A:A,'CHIRP Payment Calc'!A:A,0)),0)</f>
        <v>2824338.4238304887</v>
      </c>
      <c r="M321" s="3">
        <f t="shared" si="11"/>
        <v>-1053676.7095638963</v>
      </c>
    </row>
    <row r="322" spans="1:13">
      <c r="A322" s="9" t="s">
        <v>1050</v>
      </c>
      <c r="B322" s="9" t="s">
        <v>1489</v>
      </c>
      <c r="C322" s="9" t="s">
        <v>1550</v>
      </c>
      <c r="D322" s="4" t="s">
        <v>1051</v>
      </c>
      <c r="E322" s="14" t="s">
        <v>1051</v>
      </c>
      <c r="F322" s="14" t="s">
        <v>1052</v>
      </c>
      <c r="G322" s="14" t="s">
        <v>1050</v>
      </c>
      <c r="H322" s="9" t="s">
        <v>2418</v>
      </c>
      <c r="I322" s="3">
        <v>152053.7996455206</v>
      </c>
      <c r="J322" s="3">
        <v>103882.70368588342</v>
      </c>
      <c r="K322" s="3">
        <f t="shared" si="10"/>
        <v>255936.503331404</v>
      </c>
      <c r="L322" s="3">
        <f>IFERROR(INDEX('CHIRP Payment Calc'!K:K,MATCH(A:A,'CHIRP Payment Calc'!A:A,0)),0)</f>
        <v>342790.6063039134</v>
      </c>
      <c r="M322" s="3">
        <f t="shared" si="11"/>
        <v>-86854.102972509398</v>
      </c>
    </row>
    <row r="323" spans="1:13">
      <c r="A323" s="9" t="s">
        <v>88</v>
      </c>
      <c r="B323" s="9" t="s">
        <v>1489</v>
      </c>
      <c r="C323" s="9" t="s">
        <v>1550</v>
      </c>
      <c r="D323" s="4" t="s">
        <v>89</v>
      </c>
      <c r="E323" s="14" t="s">
        <v>89</v>
      </c>
      <c r="F323" s="14" t="s">
        <v>90</v>
      </c>
      <c r="G323" s="14" t="s">
        <v>88</v>
      </c>
      <c r="H323" s="9" t="s">
        <v>2417</v>
      </c>
      <c r="I323" s="3">
        <v>453030.23254648573</v>
      </c>
      <c r="J323" s="3">
        <v>381638.3660866954</v>
      </c>
      <c r="K323" s="3">
        <f t="shared" si="10"/>
        <v>834668.59863318107</v>
      </c>
      <c r="L323" s="3">
        <f>IFERROR(INDEX('CHIRP Payment Calc'!K:K,MATCH(A:A,'CHIRP Payment Calc'!A:A,0)),0)</f>
        <v>2677367.9837462753</v>
      </c>
      <c r="M323" s="3">
        <f t="shared" si="11"/>
        <v>-1842699.3851130942</v>
      </c>
    </row>
    <row r="324" spans="1:13">
      <c r="A324" s="9" t="s">
        <v>804</v>
      </c>
      <c r="B324" s="9" t="s">
        <v>1489</v>
      </c>
      <c r="C324" s="9" t="s">
        <v>1550</v>
      </c>
      <c r="D324" s="4" t="s">
        <v>805</v>
      </c>
      <c r="E324" s="14" t="s">
        <v>805</v>
      </c>
      <c r="F324" s="14" t="s">
        <v>806</v>
      </c>
      <c r="G324" s="14" t="s">
        <v>804</v>
      </c>
      <c r="H324" s="9" t="s">
        <v>1892</v>
      </c>
      <c r="I324" s="3">
        <v>648307.14057220356</v>
      </c>
      <c r="J324" s="3">
        <v>425141.21455731691</v>
      </c>
      <c r="K324" s="3">
        <f t="shared" si="10"/>
        <v>1073448.3551295204</v>
      </c>
      <c r="L324" s="3">
        <f>IFERROR(INDEX('CHIRP Payment Calc'!K:K,MATCH(A:A,'CHIRP Payment Calc'!A:A,0)),0)</f>
        <v>959436.79054247623</v>
      </c>
      <c r="M324" s="3">
        <f t="shared" si="11"/>
        <v>114011.56458704418</v>
      </c>
    </row>
    <row r="325" spans="1:13">
      <c r="A325" s="9" t="s">
        <v>1183</v>
      </c>
      <c r="B325" s="9" t="s">
        <v>1489</v>
      </c>
      <c r="C325" s="9" t="s">
        <v>1550</v>
      </c>
      <c r="D325" s="4" t="s">
        <v>1184</v>
      </c>
      <c r="E325" s="14" t="s">
        <v>1184</v>
      </c>
      <c r="F325" s="14" t="s">
        <v>1185</v>
      </c>
      <c r="G325" s="14" t="s">
        <v>1183</v>
      </c>
      <c r="H325" s="9" t="s">
        <v>1579</v>
      </c>
      <c r="I325" s="3">
        <v>318570.37228371372</v>
      </c>
      <c r="J325" s="3">
        <v>289579.65376946208</v>
      </c>
      <c r="K325" s="3">
        <f t="shared" si="10"/>
        <v>608150.0260531758</v>
      </c>
      <c r="L325" s="3">
        <f>IFERROR(INDEX('CHIRP Payment Calc'!K:K,MATCH(A:A,'CHIRP Payment Calc'!A:A,0)),0)</f>
        <v>1141756.6981640898</v>
      </c>
      <c r="M325" s="3">
        <f t="shared" si="11"/>
        <v>-533606.67211091402</v>
      </c>
    </row>
    <row r="326" spans="1:13">
      <c r="A326" s="9" t="s">
        <v>719</v>
      </c>
      <c r="B326" s="9" t="s">
        <v>1489</v>
      </c>
      <c r="C326" s="9" t="s">
        <v>1550</v>
      </c>
      <c r="D326" s="4" t="s">
        <v>720</v>
      </c>
      <c r="E326" s="14" t="s">
        <v>720</v>
      </c>
      <c r="F326" s="14" t="s">
        <v>721</v>
      </c>
      <c r="G326" s="14" t="s">
        <v>719</v>
      </c>
      <c r="H326" s="9" t="s">
        <v>2416</v>
      </c>
      <c r="I326" s="3">
        <v>619749.15795878822</v>
      </c>
      <c r="J326" s="3">
        <v>294027.61397767789</v>
      </c>
      <c r="K326" s="3">
        <f t="shared" si="10"/>
        <v>913776.7719364661</v>
      </c>
      <c r="L326" s="3">
        <f>IFERROR(INDEX('CHIRP Payment Calc'!K:K,MATCH(A:A,'CHIRP Payment Calc'!A:A,0)),0)</f>
        <v>0</v>
      </c>
      <c r="M326" s="3">
        <f t="shared" si="11"/>
        <v>913776.7719364661</v>
      </c>
    </row>
    <row r="327" spans="1:13">
      <c r="A327" s="9" t="s">
        <v>40</v>
      </c>
      <c r="B327" s="9" t="s">
        <v>1489</v>
      </c>
      <c r="C327" s="9" t="s">
        <v>1550</v>
      </c>
      <c r="D327" s="4" t="s">
        <v>1973</v>
      </c>
      <c r="E327" s="14" t="s">
        <v>41</v>
      </c>
      <c r="F327" s="14" t="s">
        <v>42</v>
      </c>
      <c r="G327" s="14" t="s">
        <v>40</v>
      </c>
      <c r="H327" s="9" t="s">
        <v>2415</v>
      </c>
      <c r="I327" s="3">
        <v>394920.76762868924</v>
      </c>
      <c r="J327" s="3">
        <v>201954.7805788065</v>
      </c>
      <c r="K327" s="3">
        <f t="shared" si="10"/>
        <v>596875.54820749571</v>
      </c>
      <c r="L327" s="3">
        <f>IFERROR(INDEX('CHIRP Payment Calc'!K:K,MATCH(A:A,'CHIRP Payment Calc'!A:A,0)),0)</f>
        <v>3071804.5394065352</v>
      </c>
      <c r="M327" s="3">
        <f t="shared" si="11"/>
        <v>-2474928.9911990394</v>
      </c>
    </row>
    <row r="328" spans="1:13">
      <c r="A328" s="9" t="s">
        <v>795</v>
      </c>
      <c r="B328" s="9" t="s">
        <v>1489</v>
      </c>
      <c r="C328" s="9" t="s">
        <v>1550</v>
      </c>
      <c r="D328" s="4" t="s">
        <v>796</v>
      </c>
      <c r="E328" s="14" t="s">
        <v>796</v>
      </c>
      <c r="F328" s="14" t="s">
        <v>797</v>
      </c>
      <c r="G328" s="14" t="s">
        <v>795</v>
      </c>
      <c r="H328" s="9" t="s">
        <v>2163</v>
      </c>
      <c r="I328" s="3">
        <v>146580.16697673849</v>
      </c>
      <c r="J328" s="3">
        <v>44218.377234495871</v>
      </c>
      <c r="K328" s="3">
        <f t="shared" ref="K328:K391" si="12">I328+J328</f>
        <v>190798.54421123437</v>
      </c>
      <c r="L328" s="3">
        <f>IFERROR(INDEX('CHIRP Payment Calc'!K:K,MATCH(A:A,'CHIRP Payment Calc'!A:A,0)),0)</f>
        <v>416293.7780843181</v>
      </c>
      <c r="M328" s="3">
        <f t="shared" ref="M328:M391" si="13">K328-L328</f>
        <v>-225495.23387308372</v>
      </c>
    </row>
    <row r="329" spans="1:13">
      <c r="A329" s="9" t="s">
        <v>1209</v>
      </c>
      <c r="B329" s="9" t="s">
        <v>310</v>
      </c>
      <c r="C329" s="9" t="s">
        <v>2236</v>
      </c>
      <c r="D329" s="4" t="s">
        <v>1210</v>
      </c>
      <c r="E329" s="14" t="s">
        <v>1210</v>
      </c>
      <c r="F329" s="14" t="s">
        <v>1211</v>
      </c>
      <c r="G329" s="14" t="s">
        <v>1209</v>
      </c>
      <c r="H329" s="9" t="s">
        <v>2414</v>
      </c>
      <c r="I329" s="3">
        <v>0</v>
      </c>
      <c r="J329" s="3">
        <v>0</v>
      </c>
      <c r="K329" s="3">
        <f t="shared" si="12"/>
        <v>0</v>
      </c>
      <c r="L329" s="3">
        <f>IFERROR(INDEX('CHIRP Payment Calc'!K:K,MATCH(A:A,'CHIRP Payment Calc'!A:A,0)),0)</f>
        <v>0</v>
      </c>
      <c r="M329" s="3">
        <f t="shared" si="13"/>
        <v>0</v>
      </c>
    </row>
    <row r="330" spans="1:13">
      <c r="A330" s="9" t="s">
        <v>1292</v>
      </c>
      <c r="B330" s="9" t="s">
        <v>310</v>
      </c>
      <c r="C330" s="9" t="s">
        <v>2236</v>
      </c>
      <c r="D330" s="4" t="s">
        <v>1293</v>
      </c>
      <c r="E330" s="14" t="s">
        <v>1293</v>
      </c>
      <c r="F330" s="14" t="s">
        <v>1294</v>
      </c>
      <c r="G330" s="14" t="s">
        <v>1292</v>
      </c>
      <c r="H330" s="9" t="s">
        <v>2413</v>
      </c>
      <c r="I330" s="3">
        <v>0</v>
      </c>
      <c r="J330" s="3">
        <v>0</v>
      </c>
      <c r="K330" s="3">
        <f t="shared" si="12"/>
        <v>0</v>
      </c>
      <c r="L330" s="3">
        <f>IFERROR(INDEX('CHIRP Payment Calc'!K:K,MATCH(A:A,'CHIRP Payment Calc'!A:A,0)),0)</f>
        <v>0</v>
      </c>
      <c r="M330" s="3">
        <f t="shared" si="13"/>
        <v>0</v>
      </c>
    </row>
    <row r="331" spans="1:13">
      <c r="A331" s="9" t="s">
        <v>1573</v>
      </c>
      <c r="B331" s="9" t="s">
        <v>310</v>
      </c>
      <c r="C331" s="9" t="s">
        <v>222</v>
      </c>
      <c r="D331" s="4" t="s">
        <v>1720</v>
      </c>
      <c r="E331" s="14" t="s">
        <v>1720</v>
      </c>
      <c r="F331" s="14" t="s">
        <v>1362</v>
      </c>
      <c r="G331" s="14" t="s">
        <v>1573</v>
      </c>
      <c r="H331" s="9" t="s">
        <v>2412</v>
      </c>
      <c r="I331" s="3">
        <v>1164623.3967322006</v>
      </c>
      <c r="J331" s="3">
        <v>1906412.0034701002</v>
      </c>
      <c r="K331" s="3">
        <f t="shared" si="12"/>
        <v>3071035.4002023009</v>
      </c>
      <c r="L331" s="3">
        <f>IFERROR(INDEX('CHIRP Payment Calc'!K:K,MATCH(A:A,'CHIRP Payment Calc'!A:A,0)),0)</f>
        <v>1938884.5743715935</v>
      </c>
      <c r="M331" s="3">
        <f t="shared" si="13"/>
        <v>1132150.8258307073</v>
      </c>
    </row>
    <row r="332" spans="1:13">
      <c r="A332" s="9" t="s">
        <v>307</v>
      </c>
      <c r="B332" s="9" t="s">
        <v>310</v>
      </c>
      <c r="C332" s="9" t="s">
        <v>222</v>
      </c>
      <c r="D332" s="4" t="s">
        <v>308</v>
      </c>
      <c r="E332" s="14" t="s">
        <v>308</v>
      </c>
      <c r="F332" s="14" t="s">
        <v>309</v>
      </c>
      <c r="G332" s="14" t="s">
        <v>307</v>
      </c>
      <c r="H332" s="9" t="s">
        <v>2411</v>
      </c>
      <c r="I332" s="3">
        <v>0</v>
      </c>
      <c r="J332" s="3">
        <v>0</v>
      </c>
      <c r="K332" s="3">
        <f t="shared" si="12"/>
        <v>0</v>
      </c>
      <c r="L332" s="3">
        <f>IFERROR(INDEX('CHIRP Payment Calc'!K:K,MATCH(A:A,'CHIRP Payment Calc'!A:A,0)),0)</f>
        <v>0</v>
      </c>
      <c r="M332" s="3">
        <f t="shared" si="13"/>
        <v>0</v>
      </c>
    </row>
    <row r="333" spans="1:13">
      <c r="A333" s="9" t="s">
        <v>536</v>
      </c>
      <c r="B333" s="9" t="s">
        <v>310</v>
      </c>
      <c r="C333" s="9" t="s">
        <v>222</v>
      </c>
      <c r="D333" s="4" t="s">
        <v>537</v>
      </c>
      <c r="E333" s="14" t="s">
        <v>537</v>
      </c>
      <c r="F333" s="14" t="s">
        <v>538</v>
      </c>
      <c r="G333" s="14" t="s">
        <v>536</v>
      </c>
      <c r="H333" s="9" t="s">
        <v>2410</v>
      </c>
      <c r="I333" s="3">
        <v>1229269.85881147</v>
      </c>
      <c r="J333" s="3">
        <v>1082318.590056207</v>
      </c>
      <c r="K333" s="3">
        <f t="shared" si="12"/>
        <v>2311588.4488676768</v>
      </c>
      <c r="L333" s="3">
        <f>IFERROR(INDEX('CHIRP Payment Calc'!K:K,MATCH(A:A,'CHIRP Payment Calc'!A:A,0)),0)</f>
        <v>2560612.9878102592</v>
      </c>
      <c r="M333" s="3">
        <f t="shared" si="13"/>
        <v>-249024.53894258244</v>
      </c>
    </row>
    <row r="334" spans="1:13">
      <c r="A334" s="9" t="s">
        <v>64</v>
      </c>
      <c r="B334" s="9" t="s">
        <v>310</v>
      </c>
      <c r="C334" s="9" t="s">
        <v>222</v>
      </c>
      <c r="D334" s="4" t="s">
        <v>65</v>
      </c>
      <c r="E334" s="14" t="s">
        <v>65</v>
      </c>
      <c r="F334" s="14" t="s">
        <v>66</v>
      </c>
      <c r="G334" s="14" t="s">
        <v>64</v>
      </c>
      <c r="H334" s="9" t="s">
        <v>2409</v>
      </c>
      <c r="I334" s="3">
        <v>8753119.2682800833</v>
      </c>
      <c r="J334" s="3">
        <v>8698849.4477112014</v>
      </c>
      <c r="K334" s="3">
        <f t="shared" si="12"/>
        <v>17451968.715991285</v>
      </c>
      <c r="L334" s="3">
        <f>IFERROR(INDEX('CHIRP Payment Calc'!K:K,MATCH(A:A,'CHIRP Payment Calc'!A:A,0)),0)</f>
        <v>21873646.560721099</v>
      </c>
      <c r="M334" s="3">
        <f t="shared" si="13"/>
        <v>-4421677.8447298147</v>
      </c>
    </row>
    <row r="335" spans="1:13">
      <c r="A335" s="9" t="s">
        <v>1503</v>
      </c>
      <c r="B335" s="9" t="s">
        <v>310</v>
      </c>
      <c r="C335" s="9" t="s">
        <v>222</v>
      </c>
      <c r="D335" s="4" t="s">
        <v>1504</v>
      </c>
      <c r="E335" s="14" t="s">
        <v>1504</v>
      </c>
      <c r="F335" s="14" t="s">
        <v>1505</v>
      </c>
      <c r="G335" s="14" t="s">
        <v>1503</v>
      </c>
      <c r="H335" s="9" t="s">
        <v>2408</v>
      </c>
      <c r="I335" s="3">
        <v>61221.281828364707</v>
      </c>
      <c r="J335" s="3">
        <v>66501.305904292472</v>
      </c>
      <c r="K335" s="3">
        <f t="shared" si="12"/>
        <v>127722.58773265718</v>
      </c>
      <c r="L335" s="3">
        <f>IFERROR(INDEX('CHIRP Payment Calc'!K:K,MATCH(A:A,'CHIRP Payment Calc'!A:A,0)),0)</f>
        <v>120468.06673014566</v>
      </c>
      <c r="M335" s="3">
        <f t="shared" si="13"/>
        <v>7254.521002511523</v>
      </c>
    </row>
    <row r="336" spans="1:13">
      <c r="A336" s="9" t="s">
        <v>82</v>
      </c>
      <c r="B336" s="9" t="s">
        <v>310</v>
      </c>
      <c r="C336" s="9" t="s">
        <v>222</v>
      </c>
      <c r="D336" s="4" t="s">
        <v>83</v>
      </c>
      <c r="E336" s="14" t="s">
        <v>83</v>
      </c>
      <c r="F336" s="14" t="s">
        <v>84</v>
      </c>
      <c r="G336" s="14" t="s">
        <v>82</v>
      </c>
      <c r="H336" s="9" t="s">
        <v>84</v>
      </c>
      <c r="I336" s="3">
        <v>0</v>
      </c>
      <c r="J336" s="3">
        <v>0</v>
      </c>
      <c r="K336" s="3">
        <f t="shared" si="12"/>
        <v>0</v>
      </c>
      <c r="L336" s="3">
        <f>IFERROR(INDEX('CHIRP Payment Calc'!K:K,MATCH(A:A,'CHIRP Payment Calc'!A:A,0)),0)</f>
        <v>0</v>
      </c>
      <c r="M336" s="3">
        <f t="shared" si="13"/>
        <v>0</v>
      </c>
    </row>
    <row r="337" spans="1:13">
      <c r="A337" s="9" t="s">
        <v>959</v>
      </c>
      <c r="B337" s="9" t="s">
        <v>310</v>
      </c>
      <c r="C337" s="9" t="s">
        <v>222</v>
      </c>
      <c r="D337" s="4" t="s">
        <v>960</v>
      </c>
      <c r="E337" s="14" t="s">
        <v>960</v>
      </c>
      <c r="F337" s="14" t="s">
        <v>961</v>
      </c>
      <c r="G337" s="14" t="s">
        <v>959</v>
      </c>
      <c r="H337" s="9" t="s">
        <v>2407</v>
      </c>
      <c r="I337" s="3">
        <v>0</v>
      </c>
      <c r="J337" s="3">
        <v>0</v>
      </c>
      <c r="K337" s="3">
        <f t="shared" si="12"/>
        <v>0</v>
      </c>
      <c r="L337" s="3">
        <f>IFERROR(INDEX('CHIRP Payment Calc'!K:K,MATCH(A:A,'CHIRP Payment Calc'!A:A,0)),0)</f>
        <v>0</v>
      </c>
      <c r="M337" s="3">
        <f t="shared" si="13"/>
        <v>0</v>
      </c>
    </row>
    <row r="338" spans="1:13">
      <c r="A338" s="9" t="s">
        <v>177</v>
      </c>
      <c r="B338" s="9" t="s">
        <v>310</v>
      </c>
      <c r="C338" s="9" t="s">
        <v>222</v>
      </c>
      <c r="D338" s="4" t="s">
        <v>178</v>
      </c>
      <c r="E338" s="14" t="s">
        <v>178</v>
      </c>
      <c r="F338" s="14" t="s">
        <v>179</v>
      </c>
      <c r="G338" s="14" t="s">
        <v>177</v>
      </c>
      <c r="H338" s="9" t="s">
        <v>2406</v>
      </c>
      <c r="I338" s="3">
        <v>254100.30946137867</v>
      </c>
      <c r="J338" s="3">
        <v>2923.9997137300847</v>
      </c>
      <c r="K338" s="3">
        <f t="shared" si="12"/>
        <v>257024.30917510876</v>
      </c>
      <c r="L338" s="3">
        <f>IFERROR(INDEX('CHIRP Payment Calc'!K:K,MATCH(A:A,'CHIRP Payment Calc'!A:A,0)),0)</f>
        <v>0</v>
      </c>
      <c r="M338" s="3">
        <f t="shared" si="13"/>
        <v>257024.30917510876</v>
      </c>
    </row>
    <row r="339" spans="1:13">
      <c r="A339" s="9" t="s">
        <v>67</v>
      </c>
      <c r="B339" s="9" t="s">
        <v>310</v>
      </c>
      <c r="C339" s="9" t="s">
        <v>222</v>
      </c>
      <c r="D339" s="4" t="s">
        <v>68</v>
      </c>
      <c r="E339" s="14" t="s">
        <v>68</v>
      </c>
      <c r="F339" s="14" t="s">
        <v>69</v>
      </c>
      <c r="G339" s="14" t="s">
        <v>67</v>
      </c>
      <c r="H339" s="9" t="s">
        <v>2405</v>
      </c>
      <c r="I339" s="3">
        <v>3268515.982343819</v>
      </c>
      <c r="J339" s="3">
        <v>3137583.7178336154</v>
      </c>
      <c r="K339" s="3">
        <f t="shared" si="12"/>
        <v>6406099.7001774348</v>
      </c>
      <c r="L339" s="3">
        <f>IFERROR(INDEX('CHIRP Payment Calc'!K:K,MATCH(A:A,'CHIRP Payment Calc'!A:A,0)),0)</f>
        <v>9618948.4512421861</v>
      </c>
      <c r="M339" s="3">
        <f t="shared" si="13"/>
        <v>-3212848.7510647513</v>
      </c>
    </row>
    <row r="340" spans="1:13">
      <c r="A340" s="9" t="s">
        <v>1522</v>
      </c>
      <c r="B340" s="9" t="s">
        <v>310</v>
      </c>
      <c r="C340" s="9" t="s">
        <v>222</v>
      </c>
      <c r="D340" s="4" t="s">
        <v>1523</v>
      </c>
      <c r="E340" s="14" t="s">
        <v>1523</v>
      </c>
      <c r="F340" s="14" t="s">
        <v>1524</v>
      </c>
      <c r="G340" s="14" t="s">
        <v>1522</v>
      </c>
      <c r="H340" s="9" t="s">
        <v>1524</v>
      </c>
      <c r="I340" s="3">
        <v>0</v>
      </c>
      <c r="J340" s="3">
        <v>0</v>
      </c>
      <c r="K340" s="3">
        <f t="shared" si="12"/>
        <v>0</v>
      </c>
      <c r="L340" s="3">
        <f>IFERROR(INDEX('CHIRP Payment Calc'!K:K,MATCH(A:A,'CHIRP Payment Calc'!A:A,0)),0)</f>
        <v>126031.85013204545</v>
      </c>
      <c r="M340" s="3">
        <f t="shared" si="13"/>
        <v>-126031.85013204545</v>
      </c>
    </row>
    <row r="341" spans="1:13">
      <c r="A341" s="9" t="s">
        <v>459</v>
      </c>
      <c r="B341" s="9" t="s">
        <v>310</v>
      </c>
      <c r="C341" s="9" t="s">
        <v>222</v>
      </c>
      <c r="D341" s="4" t="s">
        <v>460</v>
      </c>
      <c r="E341" s="14" t="s">
        <v>460</v>
      </c>
      <c r="F341" s="14" t="s">
        <v>461</v>
      </c>
      <c r="G341" s="14" t="s">
        <v>459</v>
      </c>
      <c r="H341" s="9" t="s">
        <v>2404</v>
      </c>
      <c r="I341" s="3">
        <v>5048812.3836262841</v>
      </c>
      <c r="J341" s="3">
        <v>9382092.3203014135</v>
      </c>
      <c r="K341" s="3">
        <f t="shared" si="12"/>
        <v>14430904.703927698</v>
      </c>
      <c r="L341" s="3">
        <f>IFERROR(INDEX('CHIRP Payment Calc'!K:K,MATCH(A:A,'CHIRP Payment Calc'!A:A,0)),0)</f>
        <v>14849814.081848338</v>
      </c>
      <c r="M341" s="3">
        <f t="shared" si="13"/>
        <v>-418909.37792064063</v>
      </c>
    </row>
    <row r="342" spans="1:13">
      <c r="A342" s="9" t="s">
        <v>16</v>
      </c>
      <c r="B342" s="9" t="s">
        <v>310</v>
      </c>
      <c r="C342" s="9" t="s">
        <v>222</v>
      </c>
      <c r="D342" s="4" t="s">
        <v>17</v>
      </c>
      <c r="E342" s="14" t="s">
        <v>17</v>
      </c>
      <c r="F342" s="14" t="s">
        <v>18</v>
      </c>
      <c r="G342" s="14" t="s">
        <v>16</v>
      </c>
      <c r="H342" s="9" t="s">
        <v>2403</v>
      </c>
      <c r="I342" s="3">
        <v>2577195.7107133102</v>
      </c>
      <c r="J342" s="3">
        <v>1857351.33667386</v>
      </c>
      <c r="K342" s="3">
        <f t="shared" si="12"/>
        <v>4434547.0473871697</v>
      </c>
      <c r="L342" s="3">
        <f>IFERROR(INDEX('CHIRP Payment Calc'!K:K,MATCH(A:A,'CHIRP Payment Calc'!A:A,0)),0)</f>
        <v>5242348.9228347801</v>
      </c>
      <c r="M342" s="3">
        <f t="shared" si="13"/>
        <v>-807801.87544761039</v>
      </c>
    </row>
    <row r="343" spans="1:13">
      <c r="A343" s="9" t="s">
        <v>1382</v>
      </c>
      <c r="B343" s="9" t="s">
        <v>310</v>
      </c>
      <c r="C343" s="9" t="s">
        <v>222</v>
      </c>
      <c r="D343" s="4" t="s">
        <v>1383</v>
      </c>
      <c r="E343" s="14" t="s">
        <v>1383</v>
      </c>
      <c r="F343" s="14" t="s">
        <v>1384</v>
      </c>
      <c r="G343" s="14" t="s">
        <v>1382</v>
      </c>
      <c r="H343" s="9" t="s">
        <v>2402</v>
      </c>
      <c r="I343" s="3">
        <v>33638.315803138554</v>
      </c>
      <c r="J343" s="3">
        <v>65075.716235155858</v>
      </c>
      <c r="K343" s="3">
        <f t="shared" si="12"/>
        <v>98714.032038294419</v>
      </c>
      <c r="L343" s="3">
        <f>IFERROR(INDEX('CHIRP Payment Calc'!K:K,MATCH(A:A,'CHIRP Payment Calc'!A:A,0)),0)</f>
        <v>0</v>
      </c>
      <c r="M343" s="3">
        <f t="shared" si="13"/>
        <v>98714.032038294419</v>
      </c>
    </row>
    <row r="344" spans="1:13">
      <c r="A344" s="9" t="s">
        <v>807</v>
      </c>
      <c r="B344" s="9" t="s">
        <v>310</v>
      </c>
      <c r="C344" s="9" t="s">
        <v>222</v>
      </c>
      <c r="D344" s="4" t="s">
        <v>808</v>
      </c>
      <c r="E344" s="14" t="s">
        <v>808</v>
      </c>
      <c r="F344" s="14" t="s">
        <v>809</v>
      </c>
      <c r="G344" s="14" t="s">
        <v>807</v>
      </c>
      <c r="H344" s="9" t="s">
        <v>2401</v>
      </c>
      <c r="I344" s="3">
        <v>6137506.7505649319</v>
      </c>
      <c r="J344" s="3">
        <v>2984804.8416085434</v>
      </c>
      <c r="K344" s="3">
        <f t="shared" si="12"/>
        <v>9122311.5921734758</v>
      </c>
      <c r="L344" s="3">
        <f>IFERROR(INDEX('CHIRP Payment Calc'!K:K,MATCH(A:A,'CHIRP Payment Calc'!A:A,0)),0)</f>
        <v>10432444.627056582</v>
      </c>
      <c r="M344" s="3">
        <f t="shared" si="13"/>
        <v>-1310133.0348831061</v>
      </c>
    </row>
    <row r="345" spans="1:13">
      <c r="A345" s="9" t="s">
        <v>407</v>
      </c>
      <c r="B345" s="9" t="s">
        <v>310</v>
      </c>
      <c r="C345" s="9" t="s">
        <v>222</v>
      </c>
      <c r="D345" s="4" t="s">
        <v>2400</v>
      </c>
      <c r="E345" s="14" t="s">
        <v>408</v>
      </c>
      <c r="F345" s="14" t="s">
        <v>409</v>
      </c>
      <c r="G345" s="14" t="s">
        <v>407</v>
      </c>
      <c r="H345" s="9" t="s">
        <v>2399</v>
      </c>
      <c r="I345" s="3">
        <v>0</v>
      </c>
      <c r="J345" s="3">
        <v>0</v>
      </c>
      <c r="K345" s="3">
        <f t="shared" si="12"/>
        <v>0</v>
      </c>
      <c r="L345" s="3">
        <f>IFERROR(INDEX('CHIRP Payment Calc'!K:K,MATCH(A:A,'CHIRP Payment Calc'!A:A,0)),0)</f>
        <v>0</v>
      </c>
      <c r="M345" s="3">
        <f t="shared" si="13"/>
        <v>0</v>
      </c>
    </row>
    <row r="346" spans="1:13">
      <c r="A346" s="9" t="s">
        <v>1461</v>
      </c>
      <c r="B346" s="9" t="s">
        <v>310</v>
      </c>
      <c r="C346" s="9" t="s">
        <v>222</v>
      </c>
      <c r="D346" s="4" t="s">
        <v>1462</v>
      </c>
      <c r="E346" s="14" t="s">
        <v>1462</v>
      </c>
      <c r="F346" s="14" t="s">
        <v>1463</v>
      </c>
      <c r="G346" s="14" t="s">
        <v>1461</v>
      </c>
      <c r="H346" s="9" t="s">
        <v>1463</v>
      </c>
      <c r="I346" s="3">
        <v>6082.895174405714</v>
      </c>
      <c r="J346" s="3">
        <v>0</v>
      </c>
      <c r="K346" s="3">
        <f t="shared" si="12"/>
        <v>6082.895174405714</v>
      </c>
      <c r="L346" s="3">
        <f>IFERROR(INDEX('CHIRP Payment Calc'!K:K,MATCH(A:A,'CHIRP Payment Calc'!A:A,0)),0)</f>
        <v>4693.0774788562276</v>
      </c>
      <c r="M346" s="3">
        <f t="shared" si="13"/>
        <v>1389.8176955494864</v>
      </c>
    </row>
    <row r="347" spans="1:13">
      <c r="A347" s="9" t="s">
        <v>898</v>
      </c>
      <c r="B347" s="9" t="s">
        <v>310</v>
      </c>
      <c r="C347" s="9" t="s">
        <v>222</v>
      </c>
      <c r="D347" s="4" t="s">
        <v>899</v>
      </c>
      <c r="E347" s="14" t="s">
        <v>899</v>
      </c>
      <c r="F347" s="14" t="s">
        <v>900</v>
      </c>
      <c r="G347" s="14" t="s">
        <v>898</v>
      </c>
      <c r="H347" s="9" t="s">
        <v>2398</v>
      </c>
      <c r="I347" s="3">
        <v>11669925.477340676</v>
      </c>
      <c r="J347" s="3">
        <v>7876663.2529584458</v>
      </c>
      <c r="K347" s="3">
        <f t="shared" si="12"/>
        <v>19546588.730299123</v>
      </c>
      <c r="L347" s="3">
        <f>IFERROR(INDEX('CHIRP Payment Calc'!K:K,MATCH(A:A,'CHIRP Payment Calc'!A:A,0)),0)</f>
        <v>31185565.135176055</v>
      </c>
      <c r="M347" s="3">
        <f t="shared" si="13"/>
        <v>-11638976.404876933</v>
      </c>
    </row>
    <row r="348" spans="1:13">
      <c r="A348" s="9" t="s">
        <v>1974</v>
      </c>
      <c r="B348" s="9" t="s">
        <v>310</v>
      </c>
      <c r="C348" s="9" t="s">
        <v>222</v>
      </c>
      <c r="D348" s="4" t="s">
        <v>1975</v>
      </c>
      <c r="E348" s="14" t="s">
        <v>1975</v>
      </c>
      <c r="F348" s="14" t="e">
        <v>#N/A</v>
      </c>
      <c r="G348" s="14" t="s">
        <v>1974</v>
      </c>
      <c r="H348" s="9" t="s">
        <v>2397</v>
      </c>
      <c r="I348" s="3">
        <v>0</v>
      </c>
      <c r="J348" s="3">
        <v>0</v>
      </c>
      <c r="K348" s="3">
        <f t="shared" si="12"/>
        <v>0</v>
      </c>
      <c r="L348" s="3">
        <f>IFERROR(INDEX('CHIRP Payment Calc'!K:K,MATCH(A:A,'CHIRP Payment Calc'!A:A,0)),0)</f>
        <v>0</v>
      </c>
      <c r="M348" s="3">
        <f t="shared" si="13"/>
        <v>0</v>
      </c>
    </row>
    <row r="349" spans="1:13">
      <c r="A349" s="9" t="s">
        <v>1571</v>
      </c>
      <c r="B349" s="9" t="s">
        <v>310</v>
      </c>
      <c r="C349" s="9" t="s">
        <v>222</v>
      </c>
      <c r="D349" s="4" t="s">
        <v>1624</v>
      </c>
      <c r="E349" s="14" t="s">
        <v>1624</v>
      </c>
      <c r="F349" s="14" t="s">
        <v>1353</v>
      </c>
      <c r="G349" s="14" t="s">
        <v>1571</v>
      </c>
      <c r="H349" s="9" t="s">
        <v>2396</v>
      </c>
      <c r="I349" s="3">
        <v>4620822.9423630964</v>
      </c>
      <c r="J349" s="3">
        <v>4822287.6835169103</v>
      </c>
      <c r="K349" s="3">
        <f t="shared" si="12"/>
        <v>9443110.6258800067</v>
      </c>
      <c r="L349" s="3">
        <f>IFERROR(INDEX('CHIRP Payment Calc'!K:K,MATCH(A:A,'CHIRP Payment Calc'!A:A,0)),0)</f>
        <v>8793794.9344363622</v>
      </c>
      <c r="M349" s="3">
        <f t="shared" si="13"/>
        <v>649315.69144364446</v>
      </c>
    </row>
    <row r="350" spans="1:13">
      <c r="A350" s="9" t="s">
        <v>383</v>
      </c>
      <c r="B350" s="9" t="s">
        <v>310</v>
      </c>
      <c r="C350" s="9" t="s">
        <v>222</v>
      </c>
      <c r="D350" s="4" t="s">
        <v>384</v>
      </c>
      <c r="E350" s="14" t="s">
        <v>384</v>
      </c>
      <c r="F350" s="14" t="s">
        <v>385</v>
      </c>
      <c r="G350" s="14" t="s">
        <v>383</v>
      </c>
      <c r="H350" s="9" t="s">
        <v>2395</v>
      </c>
      <c r="I350" s="3">
        <v>0</v>
      </c>
      <c r="J350" s="3">
        <v>0</v>
      </c>
      <c r="K350" s="3">
        <f t="shared" si="12"/>
        <v>0</v>
      </c>
      <c r="L350" s="3">
        <f>IFERROR(INDEX('CHIRP Payment Calc'!K:K,MATCH(A:A,'CHIRP Payment Calc'!A:A,0)),0)</f>
        <v>0</v>
      </c>
      <c r="M350" s="3">
        <f t="shared" si="13"/>
        <v>0</v>
      </c>
    </row>
    <row r="351" spans="1:13">
      <c r="A351" s="9" t="s">
        <v>440</v>
      </c>
      <c r="B351" s="9" t="s">
        <v>310</v>
      </c>
      <c r="C351" s="9" t="s">
        <v>222</v>
      </c>
      <c r="D351" s="4" t="s">
        <v>441</v>
      </c>
      <c r="E351" s="14" t="s">
        <v>441</v>
      </c>
      <c r="F351" s="14" t="s">
        <v>442</v>
      </c>
      <c r="G351" s="14" t="s">
        <v>440</v>
      </c>
      <c r="H351" s="9" t="s">
        <v>1642</v>
      </c>
      <c r="I351" s="3">
        <v>411991.2147960919</v>
      </c>
      <c r="J351" s="3">
        <v>258005.80203303212</v>
      </c>
      <c r="K351" s="3">
        <f t="shared" si="12"/>
        <v>669997.01682912395</v>
      </c>
      <c r="L351" s="3">
        <f>IFERROR(INDEX('CHIRP Payment Calc'!K:K,MATCH(A:A,'CHIRP Payment Calc'!A:A,0)),0)</f>
        <v>737564.12065299717</v>
      </c>
      <c r="M351" s="3">
        <f t="shared" si="13"/>
        <v>-67567.103823873214</v>
      </c>
    </row>
    <row r="352" spans="1:13">
      <c r="A352" s="9" t="s">
        <v>596</v>
      </c>
      <c r="B352" s="9" t="s">
        <v>310</v>
      </c>
      <c r="C352" s="9" t="s">
        <v>1481</v>
      </c>
      <c r="D352" s="4" t="s">
        <v>597</v>
      </c>
      <c r="E352" s="14" t="s">
        <v>597</v>
      </c>
      <c r="F352" s="14" t="s">
        <v>598</v>
      </c>
      <c r="G352" s="14" t="s">
        <v>596</v>
      </c>
      <c r="H352" s="9" t="s">
        <v>598</v>
      </c>
      <c r="I352" s="3">
        <v>3688154.1833483954</v>
      </c>
      <c r="J352" s="3">
        <v>2895796.2367365644</v>
      </c>
      <c r="K352" s="3">
        <f t="shared" si="12"/>
        <v>6583950.4200849598</v>
      </c>
      <c r="L352" s="3">
        <f>IFERROR(INDEX('CHIRP Payment Calc'!K:K,MATCH(A:A,'CHIRP Payment Calc'!A:A,0)),0)</f>
        <v>7722694.417621919</v>
      </c>
      <c r="M352" s="3">
        <f t="shared" si="13"/>
        <v>-1138743.9975369591</v>
      </c>
    </row>
    <row r="353" spans="1:13">
      <c r="A353" s="9" t="s">
        <v>1337</v>
      </c>
      <c r="B353" s="9" t="s">
        <v>310</v>
      </c>
      <c r="C353" s="9" t="s">
        <v>1481</v>
      </c>
      <c r="D353" s="4" t="s">
        <v>1338</v>
      </c>
      <c r="E353" s="14" t="s">
        <v>1338</v>
      </c>
      <c r="F353" s="14" t="s">
        <v>1339</v>
      </c>
      <c r="G353" s="14" t="s">
        <v>1337</v>
      </c>
      <c r="H353" s="9" t="s">
        <v>2394</v>
      </c>
      <c r="I353" s="3">
        <v>3185644.5544160604</v>
      </c>
      <c r="J353" s="3">
        <v>3795740.8522036588</v>
      </c>
      <c r="K353" s="3">
        <f t="shared" si="12"/>
        <v>6981385.4066197192</v>
      </c>
      <c r="L353" s="3">
        <f>IFERROR(INDEX('CHIRP Payment Calc'!K:K,MATCH(A:A,'CHIRP Payment Calc'!A:A,0)),0)</f>
        <v>7145719.2557417871</v>
      </c>
      <c r="M353" s="3">
        <f t="shared" si="13"/>
        <v>-164333.84912206791</v>
      </c>
    </row>
    <row r="354" spans="1:13">
      <c r="A354" s="9" t="s">
        <v>1602</v>
      </c>
      <c r="B354" s="9" t="s">
        <v>1366</v>
      </c>
      <c r="C354" s="9" t="s">
        <v>222</v>
      </c>
      <c r="D354" s="4" t="s">
        <v>1603</v>
      </c>
      <c r="E354" s="14" t="s">
        <v>1603</v>
      </c>
      <c r="F354" s="14" t="e">
        <v>#N/A</v>
      </c>
      <c r="G354" s="14" t="s">
        <v>1602</v>
      </c>
      <c r="H354" s="9" t="s">
        <v>1601</v>
      </c>
      <c r="I354" s="3">
        <v>81801.188194159899</v>
      </c>
      <c r="J354" s="3">
        <v>34139.167701757928</v>
      </c>
      <c r="K354" s="3">
        <f t="shared" si="12"/>
        <v>115940.35589591783</v>
      </c>
      <c r="L354" s="3">
        <f>IFERROR(INDEX('CHIRP Payment Calc'!K:K,MATCH(A:A,'CHIRP Payment Calc'!A:A,0)),0)</f>
        <v>0</v>
      </c>
      <c r="M354" s="3">
        <f t="shared" si="13"/>
        <v>115940.35589591783</v>
      </c>
    </row>
    <row r="355" spans="1:13">
      <c r="A355" s="9" t="s">
        <v>1562</v>
      </c>
      <c r="B355" s="9" t="s">
        <v>310</v>
      </c>
      <c r="C355" s="9" t="s">
        <v>1481</v>
      </c>
      <c r="D355" s="4" t="s">
        <v>1798</v>
      </c>
      <c r="E355" s="14" t="s">
        <v>1798</v>
      </c>
      <c r="F355" s="14" t="s">
        <v>907</v>
      </c>
      <c r="G355" s="14" t="s">
        <v>1562</v>
      </c>
      <c r="H355" s="9" t="s">
        <v>2392</v>
      </c>
      <c r="I355" s="3">
        <v>3374916.9778811336</v>
      </c>
      <c r="J355" s="3">
        <v>1620643.8590377891</v>
      </c>
      <c r="K355" s="3">
        <f t="shared" si="12"/>
        <v>4995560.8369189221</v>
      </c>
      <c r="L355" s="3">
        <f>IFERROR(INDEX('CHIRP Payment Calc'!K:K,MATCH(A:A,'CHIRP Payment Calc'!A:A,0)),0)</f>
        <v>6115690.9382321127</v>
      </c>
      <c r="M355" s="3">
        <f t="shared" si="13"/>
        <v>-1120130.1013131905</v>
      </c>
    </row>
    <row r="356" spans="1:13">
      <c r="A356" s="9" t="s">
        <v>320</v>
      </c>
      <c r="B356" s="9" t="s">
        <v>310</v>
      </c>
      <c r="C356" s="9" t="s">
        <v>1481</v>
      </c>
      <c r="D356" s="4" t="s">
        <v>321</v>
      </c>
      <c r="E356" s="14" t="s">
        <v>321</v>
      </c>
      <c r="F356" s="14" t="s">
        <v>322</v>
      </c>
      <c r="G356" s="14" t="s">
        <v>320</v>
      </c>
      <c r="H356" s="9" t="s">
        <v>2391</v>
      </c>
      <c r="I356" s="3">
        <v>626987.98267431429</v>
      </c>
      <c r="J356" s="3">
        <v>657879.2054486851</v>
      </c>
      <c r="K356" s="3">
        <f t="shared" si="12"/>
        <v>1284867.1881229994</v>
      </c>
      <c r="L356" s="3">
        <f>IFERROR(INDEX('CHIRP Payment Calc'!K:K,MATCH(A:A,'CHIRP Payment Calc'!A:A,0)),0)</f>
        <v>1876966.172365285</v>
      </c>
      <c r="M356" s="3">
        <f t="shared" si="13"/>
        <v>-592098.9842422856</v>
      </c>
    </row>
    <row r="357" spans="1:13">
      <c r="A357" s="9" t="s">
        <v>174</v>
      </c>
      <c r="B357" s="9" t="s">
        <v>310</v>
      </c>
      <c r="C357" s="9" t="s">
        <v>1481</v>
      </c>
      <c r="D357" s="4" t="s">
        <v>175</v>
      </c>
      <c r="E357" s="14" t="s">
        <v>175</v>
      </c>
      <c r="F357" s="14" t="s">
        <v>176</v>
      </c>
      <c r="G357" s="14" t="s">
        <v>174</v>
      </c>
      <c r="H357" s="9" t="s">
        <v>2390</v>
      </c>
      <c r="I357" s="3">
        <v>2760258.2274223925</v>
      </c>
      <c r="J357" s="3">
        <v>893155.5981001273</v>
      </c>
      <c r="K357" s="3">
        <f t="shared" si="12"/>
        <v>3653413.8255225196</v>
      </c>
      <c r="L357" s="3">
        <f>IFERROR(INDEX('CHIRP Payment Calc'!K:K,MATCH(A:A,'CHIRP Payment Calc'!A:A,0)),0)</f>
        <v>3999308.6114064041</v>
      </c>
      <c r="M357" s="3">
        <f t="shared" si="13"/>
        <v>-345894.78588388441</v>
      </c>
    </row>
    <row r="358" spans="1:13">
      <c r="A358" s="9" t="s">
        <v>853</v>
      </c>
      <c r="B358" s="9" t="s">
        <v>310</v>
      </c>
      <c r="C358" s="9" t="s">
        <v>1481</v>
      </c>
      <c r="D358" s="4" t="s">
        <v>854</v>
      </c>
      <c r="E358" s="14" t="s">
        <v>854</v>
      </c>
      <c r="F358" s="14" t="s">
        <v>855</v>
      </c>
      <c r="G358" s="14" t="s">
        <v>853</v>
      </c>
      <c r="H358" s="9" t="s">
        <v>2389</v>
      </c>
      <c r="I358" s="3">
        <v>3004561.6120147682</v>
      </c>
      <c r="J358" s="3">
        <v>4195609.5966778481</v>
      </c>
      <c r="K358" s="3">
        <f t="shared" si="12"/>
        <v>7200171.2086926159</v>
      </c>
      <c r="L358" s="3">
        <f>IFERROR(INDEX('CHIRP Payment Calc'!K:K,MATCH(A:A,'CHIRP Payment Calc'!A:A,0)),0)</f>
        <v>7782471.5470984858</v>
      </c>
      <c r="M358" s="3">
        <f t="shared" si="13"/>
        <v>-582300.3384058699</v>
      </c>
    </row>
    <row r="359" spans="1:13">
      <c r="A359" s="9" t="s">
        <v>356</v>
      </c>
      <c r="B359" s="9" t="s">
        <v>310</v>
      </c>
      <c r="C359" s="9" t="s">
        <v>1481</v>
      </c>
      <c r="D359" s="4" t="s">
        <v>357</v>
      </c>
      <c r="E359" s="14" t="s">
        <v>357</v>
      </c>
      <c r="F359" s="14" t="s">
        <v>358</v>
      </c>
      <c r="G359" s="14" t="s">
        <v>356</v>
      </c>
      <c r="H359" s="9" t="s">
        <v>2388</v>
      </c>
      <c r="I359" s="3">
        <v>431724.14236996236</v>
      </c>
      <c r="J359" s="3">
        <v>435467.88102322677</v>
      </c>
      <c r="K359" s="3">
        <f t="shared" si="12"/>
        <v>867192.02339318907</v>
      </c>
      <c r="L359" s="3">
        <f>IFERROR(INDEX('CHIRP Payment Calc'!K:K,MATCH(A:A,'CHIRP Payment Calc'!A:A,0)),0)</f>
        <v>1350538.1401823135</v>
      </c>
      <c r="M359" s="3">
        <f t="shared" si="13"/>
        <v>-483346.11678912444</v>
      </c>
    </row>
    <row r="360" spans="1:13">
      <c r="A360" s="9" t="s">
        <v>1180</v>
      </c>
      <c r="B360" s="9" t="s">
        <v>310</v>
      </c>
      <c r="C360" s="9" t="s">
        <v>1481</v>
      </c>
      <c r="D360" s="4" t="s">
        <v>1181</v>
      </c>
      <c r="E360" s="14" t="s">
        <v>1181</v>
      </c>
      <c r="F360" s="14" t="s">
        <v>1182</v>
      </c>
      <c r="G360" s="14" t="s">
        <v>1180</v>
      </c>
      <c r="H360" s="9" t="s">
        <v>1583</v>
      </c>
      <c r="I360" s="3">
        <v>5401548.9373189611</v>
      </c>
      <c r="J360" s="3">
        <v>1703515.6826180858</v>
      </c>
      <c r="K360" s="3">
        <f t="shared" si="12"/>
        <v>7105064.6199370474</v>
      </c>
      <c r="L360" s="3">
        <f>IFERROR(INDEX('CHIRP Payment Calc'!K:K,MATCH(A:A,'CHIRP Payment Calc'!A:A,0)),0)</f>
        <v>9858672.4228507094</v>
      </c>
      <c r="M360" s="3">
        <f t="shared" si="13"/>
        <v>-2753607.802913662</v>
      </c>
    </row>
    <row r="361" spans="1:13">
      <c r="A361" s="9" t="s">
        <v>49</v>
      </c>
      <c r="B361" s="9" t="s">
        <v>310</v>
      </c>
      <c r="C361" s="9" t="s">
        <v>1481</v>
      </c>
      <c r="D361" s="4" t="s">
        <v>50</v>
      </c>
      <c r="E361" s="14" t="s">
        <v>50</v>
      </c>
      <c r="F361" s="14" t="s">
        <v>51</v>
      </c>
      <c r="G361" s="14" t="s">
        <v>49</v>
      </c>
      <c r="H361" s="9" t="s">
        <v>2387</v>
      </c>
      <c r="I361" s="3">
        <v>579382.2805158071</v>
      </c>
      <c r="J361" s="3">
        <v>611537.9873588382</v>
      </c>
      <c r="K361" s="3">
        <f t="shared" si="12"/>
        <v>1190920.2678746453</v>
      </c>
      <c r="L361" s="3">
        <f>IFERROR(INDEX('CHIRP Payment Calc'!K:K,MATCH(A:A,'CHIRP Payment Calc'!A:A,0)),0)</f>
        <v>1353944.1160142601</v>
      </c>
      <c r="M361" s="3">
        <f t="shared" si="13"/>
        <v>-163023.8481396148</v>
      </c>
    </row>
    <row r="362" spans="1:13">
      <c r="A362" s="9" t="s">
        <v>2191</v>
      </c>
      <c r="B362" s="9" t="s">
        <v>310</v>
      </c>
      <c r="C362" s="9" t="s">
        <v>1481</v>
      </c>
      <c r="D362" s="4" t="s">
        <v>2192</v>
      </c>
      <c r="E362" s="14" t="s">
        <v>2192</v>
      </c>
      <c r="F362" s="14" t="s">
        <v>2201</v>
      </c>
      <c r="G362" s="14" t="s">
        <v>2191</v>
      </c>
      <c r="H362" s="9" t="s">
        <v>2201</v>
      </c>
      <c r="I362" s="3">
        <v>0</v>
      </c>
      <c r="J362" s="3">
        <v>0</v>
      </c>
      <c r="K362" s="3">
        <f t="shared" si="12"/>
        <v>0</v>
      </c>
      <c r="L362" s="3">
        <f>IFERROR(INDEX('CHIRP Payment Calc'!K:K,MATCH(A:A,'CHIRP Payment Calc'!A:A,0)),0)</f>
        <v>0</v>
      </c>
      <c r="M362" s="3">
        <f t="shared" si="13"/>
        <v>0</v>
      </c>
    </row>
    <row r="363" spans="1:13">
      <c r="A363" s="9" t="s">
        <v>856</v>
      </c>
      <c r="B363" s="9" t="s">
        <v>310</v>
      </c>
      <c r="C363" s="9" t="s">
        <v>1481</v>
      </c>
      <c r="D363" s="4" t="s">
        <v>857</v>
      </c>
      <c r="E363" s="14" t="s">
        <v>857</v>
      </c>
      <c r="F363" s="14" t="s">
        <v>858</v>
      </c>
      <c r="G363" s="14" t="s">
        <v>856</v>
      </c>
      <c r="H363" s="9" t="s">
        <v>1854</v>
      </c>
      <c r="I363" s="3">
        <v>187149.29571072978</v>
      </c>
      <c r="J363" s="3">
        <v>125322.39775752598</v>
      </c>
      <c r="K363" s="3">
        <f t="shared" si="12"/>
        <v>312471.69346825575</v>
      </c>
      <c r="L363" s="3">
        <f>IFERROR(INDEX('CHIRP Payment Calc'!K:K,MATCH(A:A,'CHIRP Payment Calc'!A:A,0)),0)</f>
        <v>634050.98466387345</v>
      </c>
      <c r="M363" s="3">
        <f t="shared" si="13"/>
        <v>-321579.2911956177</v>
      </c>
    </row>
    <row r="364" spans="1:13">
      <c r="A364" s="9" t="s">
        <v>901</v>
      </c>
      <c r="B364" s="9" t="s">
        <v>310</v>
      </c>
      <c r="C364" s="9" t="s">
        <v>1481</v>
      </c>
      <c r="D364" s="4" t="s">
        <v>902</v>
      </c>
      <c r="E364" s="14" t="s">
        <v>902</v>
      </c>
      <c r="F364" s="14" t="s">
        <v>903</v>
      </c>
      <c r="G364" s="14" t="s">
        <v>901</v>
      </c>
      <c r="H364" s="9" t="s">
        <v>1827</v>
      </c>
      <c r="I364" s="3">
        <v>261409.89325499258</v>
      </c>
      <c r="J364" s="3">
        <v>235972.53670134925</v>
      </c>
      <c r="K364" s="3">
        <f t="shared" si="12"/>
        <v>497382.42995634186</v>
      </c>
      <c r="L364" s="3">
        <f>IFERROR(INDEX('CHIRP Payment Calc'!K:K,MATCH(A:A,'CHIRP Payment Calc'!A:A,0)),0)</f>
        <v>685989.63805857138</v>
      </c>
      <c r="M364" s="3">
        <f t="shared" si="13"/>
        <v>-188607.20810222952</v>
      </c>
    </row>
    <row r="365" spans="1:13">
      <c r="A365" s="9" t="s">
        <v>908</v>
      </c>
      <c r="B365" s="9" t="s">
        <v>310</v>
      </c>
      <c r="C365" s="9" t="s">
        <v>1481</v>
      </c>
      <c r="D365" s="4" t="s">
        <v>909</v>
      </c>
      <c r="E365" s="14" t="s">
        <v>909</v>
      </c>
      <c r="F365" s="14" t="s">
        <v>910</v>
      </c>
      <c r="G365" s="14" t="s">
        <v>908</v>
      </c>
      <c r="H365" s="9" t="s">
        <v>1822</v>
      </c>
      <c r="I365" s="3">
        <v>4176213.0995746921</v>
      </c>
      <c r="J365" s="3">
        <v>1726041.6130230105</v>
      </c>
      <c r="K365" s="3">
        <f t="shared" si="12"/>
        <v>5902254.7125977026</v>
      </c>
      <c r="L365" s="3">
        <f>IFERROR(INDEX('CHIRP Payment Calc'!K:K,MATCH(A:A,'CHIRP Payment Calc'!A:A,0)),0)</f>
        <v>7501256.4493021136</v>
      </c>
      <c r="M365" s="3">
        <f t="shared" si="13"/>
        <v>-1599001.736704411</v>
      </c>
    </row>
    <row r="366" spans="1:13">
      <c r="A366" s="9" t="s">
        <v>192</v>
      </c>
      <c r="B366" s="9" t="s">
        <v>310</v>
      </c>
      <c r="C366" s="9" t="s">
        <v>1481</v>
      </c>
      <c r="D366" s="4" t="s">
        <v>193</v>
      </c>
      <c r="E366" s="14" t="s">
        <v>193</v>
      </c>
      <c r="F366" s="14" t="s">
        <v>194</v>
      </c>
      <c r="G366" s="14" t="s">
        <v>192</v>
      </c>
      <c r="H366" s="9" t="s">
        <v>2386</v>
      </c>
      <c r="I366" s="3">
        <v>3672717.3969227541</v>
      </c>
      <c r="J366" s="3">
        <v>800615.45612434542</v>
      </c>
      <c r="K366" s="3">
        <f t="shared" si="12"/>
        <v>4473332.8530470999</v>
      </c>
      <c r="L366" s="3">
        <f>IFERROR(INDEX('CHIRP Payment Calc'!K:K,MATCH(A:A,'CHIRP Payment Calc'!A:A,0)),0)</f>
        <v>5329017.8831000002</v>
      </c>
      <c r="M366" s="3">
        <f t="shared" si="13"/>
        <v>-855685.03005290031</v>
      </c>
    </row>
    <row r="367" spans="1:13">
      <c r="A367" s="9" t="s">
        <v>344</v>
      </c>
      <c r="B367" s="9" t="s">
        <v>310</v>
      </c>
      <c r="C367" s="9" t="s">
        <v>1481</v>
      </c>
      <c r="D367" s="4" t="s">
        <v>345</v>
      </c>
      <c r="E367" s="14" t="s">
        <v>345</v>
      </c>
      <c r="F367" s="14" t="s">
        <v>346</v>
      </c>
      <c r="G367" s="14" t="s">
        <v>344</v>
      </c>
      <c r="H367" s="9" t="s">
        <v>2385</v>
      </c>
      <c r="I367" s="3">
        <v>179157.28777045675</v>
      </c>
      <c r="J367" s="3">
        <v>138944.88865231775</v>
      </c>
      <c r="K367" s="3">
        <f t="shared" si="12"/>
        <v>318102.1764227745</v>
      </c>
      <c r="L367" s="3">
        <f>IFERROR(INDEX('CHIRP Payment Calc'!K:K,MATCH(A:A,'CHIRP Payment Calc'!A:A,0)),0)</f>
        <v>339542.81725025695</v>
      </c>
      <c r="M367" s="3">
        <f t="shared" si="13"/>
        <v>-21440.64082748245</v>
      </c>
    </row>
    <row r="368" spans="1:13">
      <c r="A368" s="9" t="s">
        <v>288</v>
      </c>
      <c r="B368" s="9" t="s">
        <v>310</v>
      </c>
      <c r="C368" s="9" t="s">
        <v>1481</v>
      </c>
      <c r="D368" s="4" t="s">
        <v>289</v>
      </c>
      <c r="E368" s="14" t="s">
        <v>289</v>
      </c>
      <c r="F368" s="14" t="s">
        <v>290</v>
      </c>
      <c r="G368" s="14" t="s">
        <v>288</v>
      </c>
      <c r="H368" s="9" t="s">
        <v>1830</v>
      </c>
      <c r="I368" s="3">
        <v>603345.41493039462</v>
      </c>
      <c r="J368" s="3">
        <v>633862.70372317347</v>
      </c>
      <c r="K368" s="3">
        <f t="shared" si="12"/>
        <v>1237208.118653568</v>
      </c>
      <c r="L368" s="3">
        <f>IFERROR(INDEX('CHIRP Payment Calc'!K:K,MATCH(A:A,'CHIRP Payment Calc'!A:A,0)),0)</f>
        <v>3291031.3529172018</v>
      </c>
      <c r="M368" s="3">
        <f t="shared" si="13"/>
        <v>-2053823.2342636338</v>
      </c>
    </row>
    <row r="369" spans="1:13">
      <c r="A369" s="9" t="s">
        <v>1289</v>
      </c>
      <c r="B369" s="9" t="s">
        <v>310</v>
      </c>
      <c r="C369" s="9" t="s">
        <v>1550</v>
      </c>
      <c r="D369" s="4" t="s">
        <v>1290</v>
      </c>
      <c r="E369" s="14" t="s">
        <v>1290</v>
      </c>
      <c r="F369" s="14" t="s">
        <v>1291</v>
      </c>
      <c r="G369" s="14" t="s">
        <v>1289</v>
      </c>
      <c r="H369" s="9" t="s">
        <v>2384</v>
      </c>
      <c r="I369" s="3">
        <v>3703425.7614643681</v>
      </c>
      <c r="J369" s="3">
        <v>1661834.8678724146</v>
      </c>
      <c r="K369" s="3">
        <f t="shared" si="12"/>
        <v>5365260.6293367827</v>
      </c>
      <c r="L369" s="3">
        <f>IFERROR(INDEX('CHIRP Payment Calc'!K:K,MATCH(A:A,'CHIRP Payment Calc'!A:A,0)),0)</f>
        <v>7254921.9400843773</v>
      </c>
      <c r="M369" s="3">
        <f t="shared" si="13"/>
        <v>-1889661.3107475946</v>
      </c>
    </row>
    <row r="370" spans="1:13">
      <c r="A370" s="9" t="s">
        <v>920</v>
      </c>
      <c r="B370" s="9" t="s">
        <v>310</v>
      </c>
      <c r="C370" s="9" t="s">
        <v>1550</v>
      </c>
      <c r="D370" s="4" t="s">
        <v>921</v>
      </c>
      <c r="E370" s="14" t="s">
        <v>921</v>
      </c>
      <c r="F370" s="14" t="s">
        <v>922</v>
      </c>
      <c r="G370" s="14" t="s">
        <v>920</v>
      </c>
      <c r="H370" s="9" t="s">
        <v>2383</v>
      </c>
      <c r="I370" s="3">
        <v>107251.6556180803</v>
      </c>
      <c r="J370" s="3">
        <v>51982.14054506916</v>
      </c>
      <c r="K370" s="3">
        <f t="shared" si="12"/>
        <v>159233.79616314947</v>
      </c>
      <c r="L370" s="3">
        <f>IFERROR(INDEX('CHIRP Payment Calc'!K:K,MATCH(A:A,'CHIRP Payment Calc'!A:A,0)),0)</f>
        <v>272456.9513759088</v>
      </c>
      <c r="M370" s="3">
        <f t="shared" si="13"/>
        <v>-113223.15521275933</v>
      </c>
    </row>
    <row r="371" spans="1:13">
      <c r="A371" s="9" t="s">
        <v>904</v>
      </c>
      <c r="B371" s="9" t="s">
        <v>310</v>
      </c>
      <c r="C371" s="9" t="s">
        <v>1550</v>
      </c>
      <c r="D371" s="4" t="s">
        <v>905</v>
      </c>
      <c r="E371" s="14" t="s">
        <v>905</v>
      </c>
      <c r="F371" s="14" t="s">
        <v>906</v>
      </c>
      <c r="G371" s="14" t="s">
        <v>904</v>
      </c>
      <c r="H371" s="9" t="s">
        <v>2382</v>
      </c>
      <c r="I371" s="3">
        <v>24402.196834611976</v>
      </c>
      <c r="J371" s="3">
        <v>31059.321346391276</v>
      </c>
      <c r="K371" s="3">
        <f t="shared" si="12"/>
        <v>55461.518181003252</v>
      </c>
      <c r="L371" s="3">
        <f>IFERROR(INDEX('CHIRP Payment Calc'!K:K,MATCH(A:A,'CHIRP Payment Calc'!A:A,0)),0)</f>
        <v>45599.357194878517</v>
      </c>
      <c r="M371" s="3">
        <f t="shared" si="13"/>
        <v>9862.1609861247343</v>
      </c>
    </row>
    <row r="372" spans="1:13">
      <c r="A372" s="9" t="s">
        <v>137</v>
      </c>
      <c r="B372" s="9" t="s">
        <v>310</v>
      </c>
      <c r="C372" s="9" t="s">
        <v>1550</v>
      </c>
      <c r="D372" s="4" t="s">
        <v>138</v>
      </c>
      <c r="E372" s="14" t="s">
        <v>138</v>
      </c>
      <c r="F372" s="14" t="s">
        <v>139</v>
      </c>
      <c r="G372" s="14" t="s">
        <v>137</v>
      </c>
      <c r="H372" s="9" t="s">
        <v>2381</v>
      </c>
      <c r="I372" s="3">
        <v>394154.18758049345</v>
      </c>
      <c r="J372" s="3">
        <v>316873.77491735684</v>
      </c>
      <c r="K372" s="3">
        <f t="shared" si="12"/>
        <v>711027.9624978503</v>
      </c>
      <c r="L372" s="3">
        <f>IFERROR(INDEX('CHIRP Payment Calc'!K:K,MATCH(A:A,'CHIRP Payment Calc'!A:A,0)),0)</f>
        <v>1112335.6463649932</v>
      </c>
      <c r="M372" s="3">
        <f t="shared" si="13"/>
        <v>-401307.68386714288</v>
      </c>
    </row>
    <row r="373" spans="1:13">
      <c r="A373" s="9" t="s">
        <v>1122</v>
      </c>
      <c r="B373" s="9" t="s">
        <v>310</v>
      </c>
      <c r="C373" s="9" t="s">
        <v>1550</v>
      </c>
      <c r="D373" s="4" t="s">
        <v>1123</v>
      </c>
      <c r="E373" s="14" t="s">
        <v>1123</v>
      </c>
      <c r="F373" s="14" t="s">
        <v>1124</v>
      </c>
      <c r="G373" s="14" t="s">
        <v>1122</v>
      </c>
      <c r="H373" s="9" t="s">
        <v>2380</v>
      </c>
      <c r="I373" s="3">
        <v>3617993.6411699462</v>
      </c>
      <c r="J373" s="3">
        <v>2700884.2722300505</v>
      </c>
      <c r="K373" s="3">
        <f t="shared" si="12"/>
        <v>6318877.9133999962</v>
      </c>
      <c r="L373" s="3">
        <f>IFERROR(INDEX('CHIRP Payment Calc'!K:K,MATCH(A:A,'CHIRP Payment Calc'!A:A,0)),0)</f>
        <v>0</v>
      </c>
      <c r="M373" s="3">
        <f t="shared" si="13"/>
        <v>6318877.9133999962</v>
      </c>
    </row>
    <row r="374" spans="1:13">
      <c r="A374" s="9" t="s">
        <v>152</v>
      </c>
      <c r="B374" s="9" t="s">
        <v>310</v>
      </c>
      <c r="C374" s="9" t="s">
        <v>1550</v>
      </c>
      <c r="D374" s="4" t="s">
        <v>153</v>
      </c>
      <c r="E374" s="14" t="s">
        <v>153</v>
      </c>
      <c r="F374" s="14" t="s">
        <v>154</v>
      </c>
      <c r="G374" s="14" t="s">
        <v>152</v>
      </c>
      <c r="H374" s="9" t="s">
        <v>2379</v>
      </c>
      <c r="I374" s="3">
        <v>736937.34509758803</v>
      </c>
      <c r="J374" s="3">
        <v>385595.49571883888</v>
      </c>
      <c r="K374" s="3">
        <f t="shared" si="12"/>
        <v>1122532.840816427</v>
      </c>
      <c r="L374" s="3">
        <f>IFERROR(INDEX('CHIRP Payment Calc'!K:K,MATCH(A:A,'CHIRP Payment Calc'!A:A,0)),0)</f>
        <v>2704705.2017844208</v>
      </c>
      <c r="M374" s="3">
        <f t="shared" si="13"/>
        <v>-1582172.3609679937</v>
      </c>
    </row>
    <row r="375" spans="1:13">
      <c r="A375" s="9" t="s">
        <v>1215</v>
      </c>
      <c r="B375" s="9" t="s">
        <v>227</v>
      </c>
      <c r="C375" s="9" t="s">
        <v>2236</v>
      </c>
      <c r="D375" s="4" t="s">
        <v>1216</v>
      </c>
      <c r="E375" s="14" t="s">
        <v>1216</v>
      </c>
      <c r="F375" s="14" t="s">
        <v>1217</v>
      </c>
      <c r="G375" s="14" t="s">
        <v>1215</v>
      </c>
      <c r="H375" s="9" t="s">
        <v>2377</v>
      </c>
      <c r="I375" s="3">
        <v>773423.70218273462</v>
      </c>
      <c r="J375" s="3">
        <v>0</v>
      </c>
      <c r="K375" s="3">
        <f t="shared" si="12"/>
        <v>773423.70218273462</v>
      </c>
      <c r="L375" s="3">
        <f>IFERROR(INDEX('CHIRP Payment Calc'!K:K,MATCH(A:A,'CHIRP Payment Calc'!A:A,0)),0)</f>
        <v>1144442.0445815083</v>
      </c>
      <c r="M375" s="3">
        <f t="shared" si="13"/>
        <v>-371018.34239877365</v>
      </c>
    </row>
    <row r="376" spans="1:13">
      <c r="A376" s="9" t="s">
        <v>1298</v>
      </c>
      <c r="B376" s="9" t="s">
        <v>227</v>
      </c>
      <c r="C376" s="9" t="s">
        <v>2236</v>
      </c>
      <c r="D376" s="4" t="s">
        <v>1299</v>
      </c>
      <c r="E376" s="14" t="s">
        <v>1299</v>
      </c>
      <c r="F376" s="14" t="s">
        <v>1300</v>
      </c>
      <c r="G376" s="14" t="s">
        <v>1298</v>
      </c>
      <c r="H376" s="9" t="s">
        <v>2376</v>
      </c>
      <c r="I376" s="3">
        <v>654858.49251594965</v>
      </c>
      <c r="J376" s="3">
        <v>0</v>
      </c>
      <c r="K376" s="3">
        <f t="shared" si="12"/>
        <v>654858.49251594965</v>
      </c>
      <c r="L376" s="3">
        <f>IFERROR(INDEX('CHIRP Payment Calc'!K:K,MATCH(A:A,'CHIRP Payment Calc'!A:A,0)),0)</f>
        <v>935777.31862968474</v>
      </c>
      <c r="M376" s="3">
        <f t="shared" si="13"/>
        <v>-280918.82611373509</v>
      </c>
    </row>
    <row r="377" spans="1:13">
      <c r="A377" s="9" t="s">
        <v>1301</v>
      </c>
      <c r="B377" s="9" t="s">
        <v>227</v>
      </c>
      <c r="C377" s="9" t="s">
        <v>2236</v>
      </c>
      <c r="D377" s="4" t="s">
        <v>1302</v>
      </c>
      <c r="E377" s="14" t="s">
        <v>1302</v>
      </c>
      <c r="F377" s="14" t="s">
        <v>1303</v>
      </c>
      <c r="G377" s="14" t="s">
        <v>1301</v>
      </c>
      <c r="H377" s="9" t="s">
        <v>2375</v>
      </c>
      <c r="I377" s="3">
        <v>1207805.2020545192</v>
      </c>
      <c r="J377" s="3">
        <v>0</v>
      </c>
      <c r="K377" s="3">
        <f t="shared" si="12"/>
        <v>1207805.2020545192</v>
      </c>
      <c r="L377" s="3">
        <f>IFERROR(INDEX('CHIRP Payment Calc'!K:K,MATCH(A:A,'CHIRP Payment Calc'!A:A,0)),0)</f>
        <v>1451284.4245904956</v>
      </c>
      <c r="M377" s="3">
        <f t="shared" si="13"/>
        <v>-243479.22253597644</v>
      </c>
    </row>
    <row r="378" spans="1:13">
      <c r="A378" s="9" t="s">
        <v>1283</v>
      </c>
      <c r="B378" s="9" t="s">
        <v>227</v>
      </c>
      <c r="C378" s="9" t="s">
        <v>2236</v>
      </c>
      <c r="D378" s="4" t="s">
        <v>1284</v>
      </c>
      <c r="E378" s="14" t="s">
        <v>1284</v>
      </c>
      <c r="F378" s="14" t="s">
        <v>1285</v>
      </c>
      <c r="G378" s="14" t="s">
        <v>1283</v>
      </c>
      <c r="H378" s="9" t="s">
        <v>2374</v>
      </c>
      <c r="I378" s="3">
        <v>783372.16170269484</v>
      </c>
      <c r="J378" s="3">
        <v>0</v>
      </c>
      <c r="K378" s="3">
        <f t="shared" si="12"/>
        <v>783372.16170269484</v>
      </c>
      <c r="L378" s="3">
        <f>IFERROR(INDEX('CHIRP Payment Calc'!K:K,MATCH(A:A,'CHIRP Payment Calc'!A:A,0)),0)</f>
        <v>1117307.8508506345</v>
      </c>
      <c r="M378" s="3">
        <f t="shared" si="13"/>
        <v>-333935.68914793967</v>
      </c>
    </row>
    <row r="379" spans="1:13">
      <c r="A379" s="9" t="e">
        <v>#N/A</v>
      </c>
      <c r="B379" s="9" t="s">
        <v>227</v>
      </c>
      <c r="C379" s="9" t="s">
        <v>2236</v>
      </c>
      <c r="D379" s="4" t="s">
        <v>2373</v>
      </c>
      <c r="E379" s="14" t="e">
        <v>#N/A</v>
      </c>
      <c r="F379" s="14" t="e">
        <v>#N/A</v>
      </c>
      <c r="G379" s="14" t="e">
        <v>#N/A</v>
      </c>
      <c r="H379" s="9" t="s">
        <v>2372</v>
      </c>
      <c r="I379" s="3">
        <v>0</v>
      </c>
      <c r="J379" s="3">
        <v>0</v>
      </c>
      <c r="K379" s="3">
        <f t="shared" si="12"/>
        <v>0</v>
      </c>
      <c r="L379" s="3">
        <f>IFERROR(INDEX('CHIRP Payment Calc'!K:K,MATCH(A:A,'CHIRP Payment Calc'!A:A,0)),0)</f>
        <v>0</v>
      </c>
      <c r="M379" s="3">
        <f t="shared" si="13"/>
        <v>0</v>
      </c>
    </row>
    <row r="380" spans="1:13">
      <c r="A380" s="9" t="s">
        <v>889</v>
      </c>
      <c r="B380" s="9" t="s">
        <v>227</v>
      </c>
      <c r="C380" s="9" t="s">
        <v>1558</v>
      </c>
      <c r="D380" s="4" t="s">
        <v>890</v>
      </c>
      <c r="E380" s="14" t="s">
        <v>890</v>
      </c>
      <c r="F380" s="14" t="s">
        <v>891</v>
      </c>
      <c r="G380" s="14" t="s">
        <v>889</v>
      </c>
      <c r="H380" s="9" t="s">
        <v>2371</v>
      </c>
      <c r="I380" s="3">
        <v>5702938.453519538</v>
      </c>
      <c r="J380" s="3">
        <v>2069773.2441232542</v>
      </c>
      <c r="K380" s="3">
        <f t="shared" si="12"/>
        <v>7772711.697642792</v>
      </c>
      <c r="L380" s="3">
        <f>IFERROR(INDEX('CHIRP Payment Calc'!K:K,MATCH(A:A,'CHIRP Payment Calc'!A:A,0)),0)</f>
        <v>11236080.010179538</v>
      </c>
      <c r="M380" s="3">
        <f t="shared" si="13"/>
        <v>-3463368.3125367463</v>
      </c>
    </row>
    <row r="381" spans="1:13">
      <c r="A381" s="9" t="s">
        <v>462</v>
      </c>
      <c r="B381" s="9" t="s">
        <v>227</v>
      </c>
      <c r="C381" s="9" t="s">
        <v>222</v>
      </c>
      <c r="D381" s="4" t="s">
        <v>463</v>
      </c>
      <c r="E381" s="14" t="s">
        <v>463</v>
      </c>
      <c r="F381" s="14" t="s">
        <v>464</v>
      </c>
      <c r="G381" s="14" t="s">
        <v>462</v>
      </c>
      <c r="H381" s="9" t="s">
        <v>1621</v>
      </c>
      <c r="I381" s="3">
        <v>6991909.658882102</v>
      </c>
      <c r="J381" s="3">
        <v>7099276.7199749565</v>
      </c>
      <c r="K381" s="3">
        <f t="shared" si="12"/>
        <v>14091186.378857058</v>
      </c>
      <c r="L381" s="3">
        <f>IFERROR(INDEX('CHIRP Payment Calc'!K:K,MATCH(A:A,'CHIRP Payment Calc'!A:A,0)),0)</f>
        <v>16879659.375144128</v>
      </c>
      <c r="M381" s="3">
        <f t="shared" si="13"/>
        <v>-2788472.9962870702</v>
      </c>
    </row>
    <row r="382" spans="1:13">
      <c r="A382" s="9" t="e">
        <v>#N/A</v>
      </c>
      <c r="B382" s="9" t="s">
        <v>227</v>
      </c>
      <c r="C382" s="9" t="s">
        <v>222</v>
      </c>
      <c r="D382" s="4" t="s">
        <v>2370</v>
      </c>
      <c r="E382" s="14" t="e">
        <v>#N/A</v>
      </c>
      <c r="F382" s="14" t="e">
        <v>#N/A</v>
      </c>
      <c r="G382" s="14" t="e">
        <v>#N/A</v>
      </c>
      <c r="H382" s="9" t="s">
        <v>2369</v>
      </c>
      <c r="I382" s="3">
        <v>0</v>
      </c>
      <c r="J382" s="3">
        <v>0</v>
      </c>
      <c r="K382" s="3">
        <f t="shared" si="12"/>
        <v>0</v>
      </c>
      <c r="L382" s="3">
        <f>IFERROR(INDEX('CHIRP Payment Calc'!K:K,MATCH(A:A,'CHIRP Payment Calc'!A:A,0)),0)</f>
        <v>0</v>
      </c>
      <c r="M382" s="3">
        <f t="shared" si="13"/>
        <v>0</v>
      </c>
    </row>
    <row r="383" spans="1:13">
      <c r="A383" s="9" t="s">
        <v>998</v>
      </c>
      <c r="B383" s="9" t="s">
        <v>227</v>
      </c>
      <c r="C383" s="9" t="s">
        <v>222</v>
      </c>
      <c r="D383" s="4" t="s">
        <v>999</v>
      </c>
      <c r="E383" s="14" t="s">
        <v>999</v>
      </c>
      <c r="F383" s="14" t="s">
        <v>1000</v>
      </c>
      <c r="G383" s="14" t="s">
        <v>998</v>
      </c>
      <c r="H383" s="9" t="s">
        <v>1752</v>
      </c>
      <c r="I383" s="3">
        <v>2338168.0177647066</v>
      </c>
      <c r="J383" s="3">
        <v>854970.90812609799</v>
      </c>
      <c r="K383" s="3">
        <f t="shared" si="12"/>
        <v>3193138.9258908047</v>
      </c>
      <c r="L383" s="3">
        <f>IFERROR(INDEX('CHIRP Payment Calc'!K:K,MATCH(A:A,'CHIRP Payment Calc'!A:A,0)),0)</f>
        <v>0</v>
      </c>
      <c r="M383" s="3">
        <f t="shared" si="13"/>
        <v>3193138.9258908047</v>
      </c>
    </row>
    <row r="384" spans="1:13">
      <c r="A384" s="9" t="s">
        <v>1770</v>
      </c>
      <c r="B384" s="9" t="s">
        <v>227</v>
      </c>
      <c r="C384" s="9" t="s">
        <v>222</v>
      </c>
      <c r="D384" s="4" t="s">
        <v>1771</v>
      </c>
      <c r="E384" s="14" t="s">
        <v>1771</v>
      </c>
      <c r="F384" s="14" t="e">
        <v>#N/A</v>
      </c>
      <c r="G384" s="14" t="s">
        <v>1770</v>
      </c>
      <c r="H384" s="9" t="s">
        <v>1769</v>
      </c>
      <c r="I384" s="3">
        <v>0</v>
      </c>
      <c r="J384" s="3">
        <v>0</v>
      </c>
      <c r="K384" s="3">
        <f t="shared" si="12"/>
        <v>0</v>
      </c>
      <c r="L384" s="3">
        <f>IFERROR(INDEX('CHIRP Payment Calc'!K:K,MATCH(A:A,'CHIRP Payment Calc'!A:A,0)),0)</f>
        <v>0</v>
      </c>
      <c r="M384" s="3">
        <f t="shared" si="13"/>
        <v>0</v>
      </c>
    </row>
    <row r="385" spans="1:13">
      <c r="A385" s="9" t="s">
        <v>747</v>
      </c>
      <c r="B385" s="9" t="s">
        <v>227</v>
      </c>
      <c r="C385" s="9" t="s">
        <v>222</v>
      </c>
      <c r="D385" s="4" t="s">
        <v>748</v>
      </c>
      <c r="E385" s="14" t="s">
        <v>748</v>
      </c>
      <c r="F385" s="14" t="s">
        <v>749</v>
      </c>
      <c r="G385" s="14" t="s">
        <v>747</v>
      </c>
      <c r="H385" s="9" t="s">
        <v>1927</v>
      </c>
      <c r="I385" s="3">
        <v>9984394.998833416</v>
      </c>
      <c r="J385" s="3">
        <v>6833960.6791207343</v>
      </c>
      <c r="K385" s="3">
        <f t="shared" si="12"/>
        <v>16818355.677954152</v>
      </c>
      <c r="L385" s="3">
        <f>IFERROR(INDEX('CHIRP Payment Calc'!K:K,MATCH(A:A,'CHIRP Payment Calc'!A:A,0)),0)</f>
        <v>25017127.6626116</v>
      </c>
      <c r="M385" s="3">
        <f t="shared" si="13"/>
        <v>-8198771.9846574478</v>
      </c>
    </row>
    <row r="386" spans="1:13">
      <c r="A386" s="9" t="s">
        <v>79</v>
      </c>
      <c r="B386" s="9" t="s">
        <v>227</v>
      </c>
      <c r="C386" s="9" t="s">
        <v>222</v>
      </c>
      <c r="D386" s="4" t="s">
        <v>80</v>
      </c>
      <c r="E386" s="14" t="s">
        <v>80</v>
      </c>
      <c r="F386" s="14" t="s">
        <v>81</v>
      </c>
      <c r="G386" s="14" t="s">
        <v>79</v>
      </c>
      <c r="H386" s="9" t="s">
        <v>2368</v>
      </c>
      <c r="I386" s="3">
        <v>0</v>
      </c>
      <c r="J386" s="3">
        <v>0</v>
      </c>
      <c r="K386" s="3">
        <f t="shared" si="12"/>
        <v>0</v>
      </c>
      <c r="L386" s="3">
        <f>IFERROR(INDEX('CHIRP Payment Calc'!K:K,MATCH(A:A,'CHIRP Payment Calc'!A:A,0)),0)</f>
        <v>0</v>
      </c>
      <c r="M386" s="3">
        <f t="shared" si="13"/>
        <v>0</v>
      </c>
    </row>
    <row r="387" spans="1:13">
      <c r="A387" s="9" t="s">
        <v>1433</v>
      </c>
      <c r="B387" s="9" t="s">
        <v>227</v>
      </c>
      <c r="C387" s="9" t="s">
        <v>222</v>
      </c>
      <c r="D387" s="4" t="s">
        <v>1434</v>
      </c>
      <c r="E387" s="14" t="s">
        <v>1434</v>
      </c>
      <c r="F387" s="14" t="s">
        <v>1435</v>
      </c>
      <c r="G387" s="14" t="s">
        <v>1433</v>
      </c>
      <c r="H387" s="9" t="s">
        <v>2367</v>
      </c>
      <c r="I387" s="3">
        <v>11757.44384890457</v>
      </c>
      <c r="J387" s="3">
        <v>457518.4164730254</v>
      </c>
      <c r="K387" s="3">
        <f t="shared" si="12"/>
        <v>469275.86032192997</v>
      </c>
      <c r="L387" s="3">
        <f>IFERROR(INDEX('CHIRP Payment Calc'!K:K,MATCH(A:A,'CHIRP Payment Calc'!A:A,0)),0)</f>
        <v>559067.12920694624</v>
      </c>
      <c r="M387" s="3">
        <f t="shared" si="13"/>
        <v>-89791.268885016267</v>
      </c>
    </row>
    <row r="388" spans="1:13">
      <c r="A388" s="9" t="s">
        <v>198</v>
      </c>
      <c r="B388" s="9" t="s">
        <v>227</v>
      </c>
      <c r="C388" s="9" t="s">
        <v>222</v>
      </c>
      <c r="D388" s="4" t="s">
        <v>199</v>
      </c>
      <c r="E388" s="14" t="s">
        <v>199</v>
      </c>
      <c r="F388" s="14" t="s">
        <v>200</v>
      </c>
      <c r="G388" s="14" t="s">
        <v>198</v>
      </c>
      <c r="H388" s="9" t="s">
        <v>2366</v>
      </c>
      <c r="I388" s="3">
        <v>271304.17404332769</v>
      </c>
      <c r="J388" s="3">
        <v>133129.31750766383</v>
      </c>
      <c r="K388" s="3">
        <f t="shared" si="12"/>
        <v>404433.49155099154</v>
      </c>
      <c r="L388" s="3">
        <f>IFERROR(INDEX('CHIRP Payment Calc'!K:K,MATCH(A:A,'CHIRP Payment Calc'!A:A,0)),0)</f>
        <v>0</v>
      </c>
      <c r="M388" s="3">
        <f t="shared" si="13"/>
        <v>404433.49155099154</v>
      </c>
    </row>
    <row r="389" spans="1:13">
      <c r="A389" s="9" t="s">
        <v>1393</v>
      </c>
      <c r="B389" s="9" t="s">
        <v>227</v>
      </c>
      <c r="C389" s="9" t="s">
        <v>222</v>
      </c>
      <c r="D389" s="4" t="s">
        <v>1394</v>
      </c>
      <c r="E389" s="14" t="s">
        <v>1394</v>
      </c>
      <c r="F389" s="14" t="s">
        <v>1395</v>
      </c>
      <c r="G389" s="14" t="s">
        <v>1393</v>
      </c>
      <c r="H389" s="9" t="s">
        <v>1395</v>
      </c>
      <c r="I389" s="3">
        <v>0</v>
      </c>
      <c r="J389" s="3">
        <v>0</v>
      </c>
      <c r="K389" s="3">
        <f t="shared" si="12"/>
        <v>0</v>
      </c>
      <c r="L389" s="3">
        <f>IFERROR(INDEX('CHIRP Payment Calc'!K:K,MATCH(A:A,'CHIRP Payment Calc'!A:A,0)),0)</f>
        <v>0</v>
      </c>
      <c r="M389" s="3">
        <f t="shared" si="13"/>
        <v>0</v>
      </c>
    </row>
    <row r="390" spans="1:13">
      <c r="A390" s="9" t="s">
        <v>224</v>
      </c>
      <c r="B390" s="9" t="s">
        <v>227</v>
      </c>
      <c r="C390" s="9" t="s">
        <v>222</v>
      </c>
      <c r="D390" s="4" t="s">
        <v>225</v>
      </c>
      <c r="E390" s="14" t="s">
        <v>225</v>
      </c>
      <c r="F390" s="14" t="s">
        <v>226</v>
      </c>
      <c r="G390" s="14" t="s">
        <v>224</v>
      </c>
      <c r="H390" s="9" t="s">
        <v>2365</v>
      </c>
      <c r="I390" s="3">
        <v>0</v>
      </c>
      <c r="J390" s="3">
        <v>0</v>
      </c>
      <c r="K390" s="3">
        <f t="shared" si="12"/>
        <v>0</v>
      </c>
      <c r="L390" s="3">
        <f>IFERROR(INDEX('CHIRP Payment Calc'!K:K,MATCH(A:A,'CHIRP Payment Calc'!A:A,0)),0)</f>
        <v>0</v>
      </c>
      <c r="M390" s="3">
        <f t="shared" si="13"/>
        <v>0</v>
      </c>
    </row>
    <row r="391" spans="1:13">
      <c r="A391" s="9" t="s">
        <v>944</v>
      </c>
      <c r="B391" s="9" t="s">
        <v>227</v>
      </c>
      <c r="C391" s="9" t="s">
        <v>222</v>
      </c>
      <c r="D391" s="4" t="s">
        <v>945</v>
      </c>
      <c r="E391" s="14" t="s">
        <v>945</v>
      </c>
      <c r="F391" s="14" t="s">
        <v>946</v>
      </c>
      <c r="G391" s="14" t="s">
        <v>944</v>
      </c>
      <c r="H391" s="9" t="s">
        <v>2364</v>
      </c>
      <c r="I391" s="3">
        <v>9442065.3346805461</v>
      </c>
      <c r="J391" s="3">
        <v>846350.54600262758</v>
      </c>
      <c r="K391" s="3">
        <f t="shared" si="12"/>
        <v>10288415.880683174</v>
      </c>
      <c r="L391" s="3">
        <f>IFERROR(INDEX('CHIRP Payment Calc'!K:K,MATCH(A:A,'CHIRP Payment Calc'!A:A,0)),0)</f>
        <v>9883653.2574276589</v>
      </c>
      <c r="M391" s="3">
        <f t="shared" si="13"/>
        <v>404762.62325551547</v>
      </c>
    </row>
    <row r="392" spans="1:13">
      <c r="A392" s="9" t="s">
        <v>1427</v>
      </c>
      <c r="B392" s="9" t="s">
        <v>227</v>
      </c>
      <c r="C392" s="9" t="s">
        <v>222</v>
      </c>
      <c r="D392" s="4" t="s">
        <v>1428</v>
      </c>
      <c r="E392" s="14" t="s">
        <v>1428</v>
      </c>
      <c r="F392" s="14" t="s">
        <v>1429</v>
      </c>
      <c r="G392" s="14" t="s">
        <v>1427</v>
      </c>
      <c r="H392" s="9" t="s">
        <v>2363</v>
      </c>
      <c r="I392" s="3">
        <v>68735.825578211327</v>
      </c>
      <c r="J392" s="3">
        <v>519311.84233092924</v>
      </c>
      <c r="K392" s="3">
        <f t="shared" ref="K392:K455" si="14">I392+J392</f>
        <v>588047.66790914058</v>
      </c>
      <c r="L392" s="3">
        <f>IFERROR(INDEX('CHIRP Payment Calc'!K:K,MATCH(A:A,'CHIRP Payment Calc'!A:A,0)),0)</f>
        <v>580549.20098773192</v>
      </c>
      <c r="M392" s="3">
        <f t="shared" ref="M392:M455" si="15">K392-L392</f>
        <v>7498.4669214086607</v>
      </c>
    </row>
    <row r="393" spans="1:13">
      <c r="A393" s="9" t="s">
        <v>494</v>
      </c>
      <c r="B393" s="9" t="s">
        <v>227</v>
      </c>
      <c r="C393" s="9" t="s">
        <v>222</v>
      </c>
      <c r="D393" s="4" t="s">
        <v>495</v>
      </c>
      <c r="E393" s="14" t="s">
        <v>495</v>
      </c>
      <c r="F393" s="14" t="s">
        <v>496</v>
      </c>
      <c r="G393" s="14" t="s">
        <v>494</v>
      </c>
      <c r="H393" s="9" t="s">
        <v>2142</v>
      </c>
      <c r="I393" s="3">
        <v>3245810.9730658121</v>
      </c>
      <c r="J393" s="3">
        <v>1155404.0825789608</v>
      </c>
      <c r="K393" s="3">
        <f t="shared" si="14"/>
        <v>4401215.0556447729</v>
      </c>
      <c r="L393" s="3">
        <f>IFERROR(INDEX('CHIRP Payment Calc'!K:K,MATCH(A:A,'CHIRP Payment Calc'!A:A,0)),0)</f>
        <v>0</v>
      </c>
      <c r="M393" s="3">
        <f t="shared" si="15"/>
        <v>4401215.0556447729</v>
      </c>
    </row>
    <row r="394" spans="1:13">
      <c r="A394" s="9" t="s">
        <v>1567</v>
      </c>
      <c r="B394" s="9" t="s">
        <v>227</v>
      </c>
      <c r="C394" s="9" t="s">
        <v>222</v>
      </c>
      <c r="D394" s="4" t="s">
        <v>1723</v>
      </c>
      <c r="E394" s="14" t="s">
        <v>1723</v>
      </c>
      <c r="F394" s="14" t="s">
        <v>1237</v>
      </c>
      <c r="G394" s="14" t="s">
        <v>1567</v>
      </c>
      <c r="H394" s="9" t="s">
        <v>1721</v>
      </c>
      <c r="I394" s="3">
        <v>4398918.0585246747</v>
      </c>
      <c r="J394" s="3">
        <v>3990437.2789299036</v>
      </c>
      <c r="K394" s="3">
        <f t="shared" si="14"/>
        <v>8389355.3374545779</v>
      </c>
      <c r="L394" s="3">
        <f>IFERROR(INDEX('CHIRP Payment Calc'!K:K,MATCH(A:A,'CHIRP Payment Calc'!A:A,0)),0)</f>
        <v>15484196.244609116</v>
      </c>
      <c r="M394" s="3">
        <f t="shared" si="15"/>
        <v>-7094840.9071545377</v>
      </c>
    </row>
    <row r="395" spans="1:13">
      <c r="A395" s="9" t="s">
        <v>653</v>
      </c>
      <c r="B395" s="9" t="s">
        <v>227</v>
      </c>
      <c r="C395" s="9" t="s">
        <v>222</v>
      </c>
      <c r="D395" s="4" t="s">
        <v>654</v>
      </c>
      <c r="E395" s="14" t="s">
        <v>654</v>
      </c>
      <c r="F395" s="14" t="s">
        <v>655</v>
      </c>
      <c r="G395" s="14" t="s">
        <v>653</v>
      </c>
      <c r="H395" s="9" t="s">
        <v>2362</v>
      </c>
      <c r="I395" s="3">
        <v>0</v>
      </c>
      <c r="J395" s="3">
        <v>0</v>
      </c>
      <c r="K395" s="3">
        <f t="shared" si="14"/>
        <v>0</v>
      </c>
      <c r="L395" s="3">
        <f>IFERROR(INDEX('CHIRP Payment Calc'!K:K,MATCH(A:A,'CHIRP Payment Calc'!A:A,0)),0)</f>
        <v>0</v>
      </c>
      <c r="M395" s="3">
        <f t="shared" si="15"/>
        <v>0</v>
      </c>
    </row>
    <row r="396" spans="1:13">
      <c r="A396" s="9" t="s">
        <v>977</v>
      </c>
      <c r="B396" s="9" t="s">
        <v>227</v>
      </c>
      <c r="C396" s="9" t="s">
        <v>1481</v>
      </c>
      <c r="D396" s="4" t="s">
        <v>978</v>
      </c>
      <c r="E396" s="14" t="s">
        <v>978</v>
      </c>
      <c r="F396" s="14" t="s">
        <v>979</v>
      </c>
      <c r="G396" s="14" t="s">
        <v>977</v>
      </c>
      <c r="H396" s="9" t="s">
        <v>2361</v>
      </c>
      <c r="I396" s="3">
        <v>44325.029418999213</v>
      </c>
      <c r="J396" s="3">
        <v>35086.653468303506</v>
      </c>
      <c r="K396" s="3">
        <f t="shared" si="14"/>
        <v>79411.682887302712</v>
      </c>
      <c r="L396" s="3">
        <f>IFERROR(INDEX('CHIRP Payment Calc'!K:K,MATCH(A:A,'CHIRP Payment Calc'!A:A,0)),0)</f>
        <v>0</v>
      </c>
      <c r="M396" s="3">
        <f t="shared" si="15"/>
        <v>79411.682887302712</v>
      </c>
    </row>
    <row r="397" spans="1:13">
      <c r="A397" s="9" t="s">
        <v>347</v>
      </c>
      <c r="B397" s="9" t="s">
        <v>227</v>
      </c>
      <c r="C397" s="9" t="s">
        <v>1481</v>
      </c>
      <c r="D397" s="4" t="s">
        <v>348</v>
      </c>
      <c r="E397" s="14" t="s">
        <v>348</v>
      </c>
      <c r="F397" s="14" t="s">
        <v>349</v>
      </c>
      <c r="G397" s="14" t="s">
        <v>347</v>
      </c>
      <c r="H397" s="9" t="s">
        <v>2360</v>
      </c>
      <c r="I397" s="3">
        <v>71646.778826836264</v>
      </c>
      <c r="J397" s="3">
        <v>32648.288158475189</v>
      </c>
      <c r="K397" s="3">
        <f t="shared" si="14"/>
        <v>104295.06698531145</v>
      </c>
      <c r="L397" s="3">
        <f>IFERROR(INDEX('CHIRP Payment Calc'!K:K,MATCH(A:A,'CHIRP Payment Calc'!A:A,0)),0)</f>
        <v>224042.43408542045</v>
      </c>
      <c r="M397" s="3">
        <f t="shared" si="15"/>
        <v>-119747.367100109</v>
      </c>
    </row>
    <row r="398" spans="1:13">
      <c r="A398" s="9" t="s">
        <v>2800</v>
      </c>
      <c r="B398" s="9" t="s">
        <v>227</v>
      </c>
      <c r="C398" s="9" t="s">
        <v>1481</v>
      </c>
      <c r="D398" s="4" t="s">
        <v>2359</v>
      </c>
      <c r="E398" s="14" t="e">
        <v>#N/A</v>
      </c>
      <c r="F398" s="14" t="e">
        <v>#N/A</v>
      </c>
      <c r="G398" s="14" t="e">
        <v>#N/A</v>
      </c>
      <c r="H398" s="9" t="s">
        <v>1748</v>
      </c>
      <c r="I398" s="3">
        <v>0</v>
      </c>
      <c r="J398" s="3">
        <v>0</v>
      </c>
      <c r="K398" s="3">
        <f t="shared" si="14"/>
        <v>0</v>
      </c>
      <c r="L398" s="3">
        <f>IFERROR(INDEX('CHIRP Payment Calc'!K:K,MATCH(A:A,'CHIRP Payment Calc'!A:A,0)),0)</f>
        <v>0</v>
      </c>
      <c r="M398" s="3">
        <f t="shared" si="15"/>
        <v>0</v>
      </c>
    </row>
    <row r="399" spans="1:13">
      <c r="A399" s="9" t="s">
        <v>341</v>
      </c>
      <c r="B399" s="9" t="s">
        <v>227</v>
      </c>
      <c r="C399" s="9" t="s">
        <v>1481</v>
      </c>
      <c r="D399" s="4" t="s">
        <v>342</v>
      </c>
      <c r="E399" s="14" t="s">
        <v>342</v>
      </c>
      <c r="F399" s="14" t="s">
        <v>343</v>
      </c>
      <c r="G399" s="14" t="s">
        <v>341</v>
      </c>
      <c r="H399" s="9" t="s">
        <v>2358</v>
      </c>
      <c r="I399" s="3">
        <v>64878.488200330532</v>
      </c>
      <c r="J399" s="3">
        <v>11469.526707443179</v>
      </c>
      <c r="K399" s="3">
        <f t="shared" si="14"/>
        <v>76348.014907773715</v>
      </c>
      <c r="L399" s="3">
        <f>IFERROR(INDEX('CHIRP Payment Calc'!K:K,MATCH(A:A,'CHIRP Payment Calc'!A:A,0)),0)</f>
        <v>0</v>
      </c>
      <c r="M399" s="3">
        <f t="shared" si="15"/>
        <v>76348.014907773715</v>
      </c>
    </row>
    <row r="400" spans="1:13">
      <c r="A400" s="9" t="s">
        <v>111</v>
      </c>
      <c r="B400" s="9" t="s">
        <v>227</v>
      </c>
      <c r="C400" s="9" t="s">
        <v>1481</v>
      </c>
      <c r="D400" s="4" t="s">
        <v>112</v>
      </c>
      <c r="E400" s="14" t="s">
        <v>112</v>
      </c>
      <c r="F400" s="14" t="s">
        <v>113</v>
      </c>
      <c r="G400" s="14" t="s">
        <v>111</v>
      </c>
      <c r="H400" s="9" t="s">
        <v>2357</v>
      </c>
      <c r="I400" s="3">
        <v>1900637.7926116586</v>
      </c>
      <c r="J400" s="3">
        <v>234374.78567144342</v>
      </c>
      <c r="K400" s="3">
        <f t="shared" si="14"/>
        <v>2135012.5782831018</v>
      </c>
      <c r="L400" s="3">
        <f>IFERROR(INDEX('CHIRP Payment Calc'!K:K,MATCH(A:A,'CHIRP Payment Calc'!A:A,0)),0)</f>
        <v>3877668.5187085522</v>
      </c>
      <c r="M400" s="3">
        <f t="shared" si="15"/>
        <v>-1742655.9404254504</v>
      </c>
    </row>
    <row r="401" spans="1:13">
      <c r="A401" s="9" t="s">
        <v>533</v>
      </c>
      <c r="B401" s="9" t="s">
        <v>227</v>
      </c>
      <c r="C401" s="9" t="s">
        <v>1481</v>
      </c>
      <c r="D401" s="4" t="s">
        <v>534</v>
      </c>
      <c r="E401" s="14" t="s">
        <v>534</v>
      </c>
      <c r="F401" s="14" t="s">
        <v>535</v>
      </c>
      <c r="G401" s="14" t="s">
        <v>533</v>
      </c>
      <c r="H401" s="9" t="s">
        <v>2103</v>
      </c>
      <c r="I401" s="3">
        <v>713532.51674735674</v>
      </c>
      <c r="J401" s="3">
        <v>94954.331596846328</v>
      </c>
      <c r="K401" s="3">
        <f t="shared" si="14"/>
        <v>808486.84834420308</v>
      </c>
      <c r="L401" s="3">
        <f>IFERROR(INDEX('CHIRP Payment Calc'!K:K,MATCH(A:A,'CHIRP Payment Calc'!A:A,0)),0)</f>
        <v>804598.2379801271</v>
      </c>
      <c r="M401" s="3">
        <f t="shared" si="15"/>
        <v>3888.6103640759829</v>
      </c>
    </row>
    <row r="402" spans="1:13">
      <c r="A402" s="9" t="s">
        <v>1376</v>
      </c>
      <c r="B402" s="9" t="s">
        <v>227</v>
      </c>
      <c r="C402" s="9" t="s">
        <v>1481</v>
      </c>
      <c r="D402" s="4" t="s">
        <v>1377</v>
      </c>
      <c r="E402" s="14" t="s">
        <v>1377</v>
      </c>
      <c r="F402" s="14" t="s">
        <v>1378</v>
      </c>
      <c r="G402" s="14" t="s">
        <v>1376</v>
      </c>
      <c r="H402" s="9" t="s">
        <v>2356</v>
      </c>
      <c r="I402" s="3">
        <v>1725136.4838742982</v>
      </c>
      <c r="J402" s="3">
        <v>641386.43730771309</v>
      </c>
      <c r="K402" s="3">
        <f t="shared" si="14"/>
        <v>2366522.9211820113</v>
      </c>
      <c r="L402" s="3">
        <f>IFERROR(INDEX('CHIRP Payment Calc'!K:K,MATCH(A:A,'CHIRP Payment Calc'!A:A,0)),0)</f>
        <v>2955257.2889091135</v>
      </c>
      <c r="M402" s="3">
        <f t="shared" si="15"/>
        <v>-588734.36772710225</v>
      </c>
    </row>
    <row r="403" spans="1:13">
      <c r="A403" s="9" t="s">
        <v>338</v>
      </c>
      <c r="B403" s="9" t="s">
        <v>227</v>
      </c>
      <c r="C403" s="9" t="s">
        <v>1481</v>
      </c>
      <c r="D403" s="4" t="s">
        <v>339</v>
      </c>
      <c r="E403" s="14" t="s">
        <v>339</v>
      </c>
      <c r="F403" s="14" t="s">
        <v>340</v>
      </c>
      <c r="G403" s="14" t="s">
        <v>338</v>
      </c>
      <c r="H403" s="9" t="s">
        <v>2355</v>
      </c>
      <c r="I403" s="3">
        <v>298412.21678626101</v>
      </c>
      <c r="J403" s="3">
        <v>125391.89270176798</v>
      </c>
      <c r="K403" s="3">
        <f t="shared" si="14"/>
        <v>423804.10948802897</v>
      </c>
      <c r="L403" s="3">
        <f>IFERROR(INDEX('CHIRP Payment Calc'!K:K,MATCH(A:A,'CHIRP Payment Calc'!A:A,0)),0)</f>
        <v>871609.70244454895</v>
      </c>
      <c r="M403" s="3">
        <f t="shared" si="15"/>
        <v>-447805.59295651998</v>
      </c>
    </row>
    <row r="404" spans="1:13">
      <c r="A404" s="9" t="s">
        <v>713</v>
      </c>
      <c r="B404" s="9" t="s">
        <v>227</v>
      </c>
      <c r="C404" s="9" t="s">
        <v>1481</v>
      </c>
      <c r="D404" s="4" t="s">
        <v>714</v>
      </c>
      <c r="E404" s="14" t="s">
        <v>714</v>
      </c>
      <c r="F404" s="14" t="s">
        <v>715</v>
      </c>
      <c r="G404" s="14" t="s">
        <v>713</v>
      </c>
      <c r="H404" s="9" t="s">
        <v>2354</v>
      </c>
      <c r="I404" s="3">
        <v>753844.31454103265</v>
      </c>
      <c r="J404" s="3">
        <v>169865.24610535501</v>
      </c>
      <c r="K404" s="3">
        <f t="shared" si="14"/>
        <v>923709.56064638763</v>
      </c>
      <c r="L404" s="3">
        <f>IFERROR(INDEX('CHIRP Payment Calc'!K:K,MATCH(A:A,'CHIRP Payment Calc'!A:A,0)),0)</f>
        <v>1992277.0738807349</v>
      </c>
      <c r="M404" s="3">
        <f t="shared" si="15"/>
        <v>-1068567.5132343471</v>
      </c>
    </row>
    <row r="405" spans="1:13">
      <c r="A405" s="9" t="s">
        <v>974</v>
      </c>
      <c r="B405" s="9" t="s">
        <v>227</v>
      </c>
      <c r="C405" s="9" t="s">
        <v>1481</v>
      </c>
      <c r="D405" s="4" t="s">
        <v>975</v>
      </c>
      <c r="E405" s="14" t="s">
        <v>975</v>
      </c>
      <c r="F405" s="14" t="s">
        <v>976</v>
      </c>
      <c r="G405" s="14" t="s">
        <v>974</v>
      </c>
      <c r="H405" s="9" t="s">
        <v>2353</v>
      </c>
      <c r="I405" s="3">
        <v>61693.253805902415</v>
      </c>
      <c r="J405" s="3">
        <v>28373.964843202535</v>
      </c>
      <c r="K405" s="3">
        <f t="shared" si="14"/>
        <v>90067.218649104951</v>
      </c>
      <c r="L405" s="3">
        <f>IFERROR(INDEX('CHIRP Payment Calc'!K:K,MATCH(A:A,'CHIRP Payment Calc'!A:A,0)),0)</f>
        <v>0</v>
      </c>
      <c r="M405" s="3">
        <f t="shared" si="15"/>
        <v>90067.218649104951</v>
      </c>
    </row>
    <row r="406" spans="1:13">
      <c r="A406" s="9" t="s">
        <v>171</v>
      </c>
      <c r="B406" s="9" t="s">
        <v>227</v>
      </c>
      <c r="C406" s="9" t="s">
        <v>1481</v>
      </c>
      <c r="D406" s="4" t="s">
        <v>172</v>
      </c>
      <c r="E406" s="14" t="s">
        <v>172</v>
      </c>
      <c r="F406" s="14" t="s">
        <v>173</v>
      </c>
      <c r="G406" s="14" t="s">
        <v>171</v>
      </c>
      <c r="H406" s="9" t="s">
        <v>2352</v>
      </c>
      <c r="I406" s="3">
        <v>208670.47762060654</v>
      </c>
      <c r="J406" s="3">
        <v>206260.61883996005</v>
      </c>
      <c r="K406" s="3">
        <f t="shared" si="14"/>
        <v>414931.09646056662</v>
      </c>
      <c r="L406" s="3">
        <f>IFERROR(INDEX('CHIRP Payment Calc'!K:K,MATCH(A:A,'CHIRP Payment Calc'!A:A,0)),0)</f>
        <v>826671.67295124207</v>
      </c>
      <c r="M406" s="3">
        <f t="shared" si="15"/>
        <v>-411740.57649067545</v>
      </c>
    </row>
    <row r="407" spans="1:13">
      <c r="A407" s="9" t="s">
        <v>350</v>
      </c>
      <c r="B407" s="9" t="s">
        <v>227</v>
      </c>
      <c r="C407" s="9" t="s">
        <v>1481</v>
      </c>
      <c r="D407" s="4" t="s">
        <v>351</v>
      </c>
      <c r="E407" s="14" t="s">
        <v>351</v>
      </c>
      <c r="F407" s="14" t="s">
        <v>352</v>
      </c>
      <c r="G407" s="14" t="s">
        <v>350</v>
      </c>
      <c r="H407" s="9" t="s">
        <v>2351</v>
      </c>
      <c r="I407" s="3">
        <v>248646.69845009135</v>
      </c>
      <c r="J407" s="3">
        <v>34720.149026855986</v>
      </c>
      <c r="K407" s="3">
        <f t="shared" si="14"/>
        <v>283366.84747694735</v>
      </c>
      <c r="L407" s="3">
        <f>IFERROR(INDEX('CHIRP Payment Calc'!K:K,MATCH(A:A,'CHIRP Payment Calc'!A:A,0)),0)</f>
        <v>255585.25681187789</v>
      </c>
      <c r="M407" s="3">
        <f t="shared" si="15"/>
        <v>27781.590665069467</v>
      </c>
    </row>
    <row r="408" spans="1:13">
      <c r="A408" s="9" t="s">
        <v>1686</v>
      </c>
      <c r="B408" s="9" t="s">
        <v>227</v>
      </c>
      <c r="C408" s="9" t="s">
        <v>1481</v>
      </c>
      <c r="D408" s="4" t="s">
        <v>1687</v>
      </c>
      <c r="E408" s="14" t="s">
        <v>1687</v>
      </c>
      <c r="F408" s="14" t="e">
        <v>#N/A</v>
      </c>
      <c r="G408" s="14" t="s">
        <v>1686</v>
      </c>
      <c r="H408" s="9" t="s">
        <v>2350</v>
      </c>
      <c r="I408" s="3">
        <v>0</v>
      </c>
      <c r="J408" s="3">
        <v>0</v>
      </c>
      <c r="K408" s="3">
        <f t="shared" si="14"/>
        <v>0</v>
      </c>
      <c r="L408" s="3">
        <f>IFERROR(INDEX('CHIRP Payment Calc'!K:K,MATCH(A:A,'CHIRP Payment Calc'!A:A,0)),0)</f>
        <v>0</v>
      </c>
      <c r="M408" s="3">
        <f t="shared" si="15"/>
        <v>0</v>
      </c>
    </row>
    <row r="409" spans="1:13">
      <c r="A409" s="9" t="s">
        <v>539</v>
      </c>
      <c r="B409" s="9" t="s">
        <v>227</v>
      </c>
      <c r="C409" s="9" t="s">
        <v>1481</v>
      </c>
      <c r="D409" s="4" t="s">
        <v>540</v>
      </c>
      <c r="E409" s="14" t="s">
        <v>540</v>
      </c>
      <c r="F409" s="14" t="s">
        <v>541</v>
      </c>
      <c r="G409" s="14" t="s">
        <v>539</v>
      </c>
      <c r="H409" s="9" t="s">
        <v>2099</v>
      </c>
      <c r="I409" s="3">
        <v>3184753.7054586369</v>
      </c>
      <c r="J409" s="3">
        <v>1674197.7159287005</v>
      </c>
      <c r="K409" s="3">
        <f t="shared" si="14"/>
        <v>4858951.4213873371</v>
      </c>
      <c r="L409" s="3">
        <f>IFERROR(INDEX('CHIRP Payment Calc'!K:K,MATCH(A:A,'CHIRP Payment Calc'!A:A,0)),0)</f>
        <v>0</v>
      </c>
      <c r="M409" s="3">
        <f t="shared" si="15"/>
        <v>4858951.4213873371</v>
      </c>
    </row>
    <row r="410" spans="1:13">
      <c r="A410" s="9" t="s">
        <v>1044</v>
      </c>
      <c r="B410" s="9" t="s">
        <v>227</v>
      </c>
      <c r="C410" s="9" t="s">
        <v>1481</v>
      </c>
      <c r="D410" s="4" t="s">
        <v>1045</v>
      </c>
      <c r="E410" s="14" t="s">
        <v>1045</v>
      </c>
      <c r="F410" s="14" t="s">
        <v>1046</v>
      </c>
      <c r="G410" s="14" t="s">
        <v>1044</v>
      </c>
      <c r="H410" s="9" t="s">
        <v>2349</v>
      </c>
      <c r="I410" s="3">
        <v>3019859.5886857156</v>
      </c>
      <c r="J410" s="3">
        <v>1525833.2731818834</v>
      </c>
      <c r="K410" s="3">
        <f t="shared" si="14"/>
        <v>4545692.8618675992</v>
      </c>
      <c r="L410" s="3">
        <f>IFERROR(INDEX('CHIRP Payment Calc'!K:K,MATCH(A:A,'CHIRP Payment Calc'!A:A,0)),0)</f>
        <v>0</v>
      </c>
      <c r="M410" s="3">
        <f t="shared" si="15"/>
        <v>4545692.8618675992</v>
      </c>
    </row>
    <row r="411" spans="1:13">
      <c r="A411" s="9" t="s">
        <v>2765</v>
      </c>
      <c r="B411" s="9" t="s">
        <v>227</v>
      </c>
      <c r="C411" s="9" t="s">
        <v>1481</v>
      </c>
      <c r="D411" s="4" t="s">
        <v>1147</v>
      </c>
      <c r="E411" s="14" t="s">
        <v>1147</v>
      </c>
      <c r="F411" s="14" t="s">
        <v>1148</v>
      </c>
      <c r="G411" s="14" t="s">
        <v>1146</v>
      </c>
      <c r="H411" s="9" t="s">
        <v>1748</v>
      </c>
      <c r="I411" s="3">
        <v>1306420.495599671</v>
      </c>
      <c r="J411" s="3">
        <v>500889.68796631863</v>
      </c>
      <c r="K411" s="3">
        <f t="shared" si="14"/>
        <v>1807310.1835659896</v>
      </c>
      <c r="L411" s="3">
        <f>IFERROR(INDEX('CHIRP Payment Calc'!K:K,MATCH(A:A,'CHIRP Payment Calc'!A:A,0)),0)</f>
        <v>4086358.2217249479</v>
      </c>
      <c r="M411" s="3">
        <f t="shared" si="15"/>
        <v>-2279048.0381589583</v>
      </c>
    </row>
    <row r="412" spans="1:13">
      <c r="A412" s="9" t="s">
        <v>965</v>
      </c>
      <c r="B412" s="9" t="s">
        <v>227</v>
      </c>
      <c r="C412" s="9" t="s">
        <v>1481</v>
      </c>
      <c r="D412" s="4" t="s">
        <v>966</v>
      </c>
      <c r="E412" s="14" t="s">
        <v>966</v>
      </c>
      <c r="F412" s="14" t="s">
        <v>967</v>
      </c>
      <c r="G412" s="14" t="s">
        <v>965</v>
      </c>
      <c r="H412" s="9" t="s">
        <v>1788</v>
      </c>
      <c r="I412" s="3">
        <v>92306.543118982663</v>
      </c>
      <c r="J412" s="3">
        <v>30104.309083153901</v>
      </c>
      <c r="K412" s="3">
        <f t="shared" si="14"/>
        <v>122410.85220213656</v>
      </c>
      <c r="L412" s="3">
        <f>IFERROR(INDEX('CHIRP Payment Calc'!K:K,MATCH(A:A,'CHIRP Payment Calc'!A:A,0)),0)</f>
        <v>0</v>
      </c>
      <c r="M412" s="3">
        <f t="shared" si="15"/>
        <v>122410.85220213656</v>
      </c>
    </row>
    <row r="413" spans="1:13">
      <c r="A413" s="9" t="s">
        <v>825</v>
      </c>
      <c r="B413" s="9" t="s">
        <v>227</v>
      </c>
      <c r="C413" s="9" t="s">
        <v>1550</v>
      </c>
      <c r="D413" s="4" t="s">
        <v>826</v>
      </c>
      <c r="E413" s="14" t="s">
        <v>826</v>
      </c>
      <c r="F413" s="14" t="s">
        <v>827</v>
      </c>
      <c r="G413" s="14" t="s">
        <v>825</v>
      </c>
      <c r="H413" s="9" t="s">
        <v>1876</v>
      </c>
      <c r="I413" s="3">
        <v>69943.091909068695</v>
      </c>
      <c r="J413" s="3">
        <v>16680.178933402767</v>
      </c>
      <c r="K413" s="3">
        <f t="shared" si="14"/>
        <v>86623.270842471466</v>
      </c>
      <c r="L413" s="3">
        <f>IFERROR(INDEX('CHIRP Payment Calc'!K:K,MATCH(A:A,'CHIRP Payment Calc'!A:A,0)),0)</f>
        <v>0</v>
      </c>
      <c r="M413" s="3">
        <f t="shared" si="15"/>
        <v>86623.270842471466</v>
      </c>
    </row>
    <row r="414" spans="1:13">
      <c r="A414" s="9" t="s">
        <v>548</v>
      </c>
      <c r="B414" s="9" t="s">
        <v>227</v>
      </c>
      <c r="C414" s="9" t="s">
        <v>1550</v>
      </c>
      <c r="D414" s="4" t="s">
        <v>549</v>
      </c>
      <c r="E414" s="14" t="s">
        <v>549</v>
      </c>
      <c r="F414" s="14" t="s">
        <v>550</v>
      </c>
      <c r="G414" s="14" t="s">
        <v>548</v>
      </c>
      <c r="H414" s="9" t="s">
        <v>2348</v>
      </c>
      <c r="I414" s="3">
        <v>162292.81765159688</v>
      </c>
      <c r="J414" s="3">
        <v>34615.559075612167</v>
      </c>
      <c r="K414" s="3">
        <f t="shared" si="14"/>
        <v>196908.37672720905</v>
      </c>
      <c r="L414" s="3">
        <f>IFERROR(INDEX('CHIRP Payment Calc'!K:K,MATCH(A:A,'CHIRP Payment Calc'!A:A,0)),0)</f>
        <v>497920.47464413272</v>
      </c>
      <c r="M414" s="3">
        <f t="shared" si="15"/>
        <v>-301012.0979169237</v>
      </c>
    </row>
    <row r="415" spans="1:13">
      <c r="A415" s="9" t="s">
        <v>1069</v>
      </c>
      <c r="B415" s="9" t="s">
        <v>227</v>
      </c>
      <c r="C415" s="9" t="s">
        <v>1550</v>
      </c>
      <c r="D415" s="4" t="s">
        <v>1070</v>
      </c>
      <c r="E415" s="14" t="s">
        <v>1070</v>
      </c>
      <c r="F415" s="14" t="s">
        <v>1071</v>
      </c>
      <c r="G415" s="14" t="s">
        <v>1069</v>
      </c>
      <c r="H415" s="9" t="s">
        <v>2347</v>
      </c>
      <c r="I415" s="3">
        <v>102863.94054884469</v>
      </c>
      <c r="J415" s="3">
        <v>5990.2950240642922</v>
      </c>
      <c r="K415" s="3">
        <f t="shared" si="14"/>
        <v>108854.23557290899</v>
      </c>
      <c r="L415" s="3">
        <f>IFERROR(INDEX('CHIRP Payment Calc'!K:K,MATCH(A:A,'CHIRP Payment Calc'!A:A,0)),0)</f>
        <v>190409.39577374989</v>
      </c>
      <c r="M415" s="3">
        <f t="shared" si="15"/>
        <v>-81555.160200840895</v>
      </c>
    </row>
    <row r="416" spans="1:13">
      <c r="A416" s="9" t="s">
        <v>716</v>
      </c>
      <c r="B416" s="9" t="s">
        <v>227</v>
      </c>
      <c r="C416" s="9" t="s">
        <v>1550</v>
      </c>
      <c r="D416" s="4" t="s">
        <v>717</v>
      </c>
      <c r="E416" s="14" t="s">
        <v>717</v>
      </c>
      <c r="F416" s="14" t="s">
        <v>718</v>
      </c>
      <c r="G416" s="14" t="s">
        <v>716</v>
      </c>
      <c r="H416" s="9" t="s">
        <v>2346</v>
      </c>
      <c r="I416" s="3">
        <v>75606.418609447894</v>
      </c>
      <c r="J416" s="3">
        <v>12109.16031021597</v>
      </c>
      <c r="K416" s="3">
        <f t="shared" si="14"/>
        <v>87715.578919663865</v>
      </c>
      <c r="L416" s="3">
        <f>IFERROR(INDEX('CHIRP Payment Calc'!K:K,MATCH(A:A,'CHIRP Payment Calc'!A:A,0)),0)</f>
        <v>99682.243537696166</v>
      </c>
      <c r="M416" s="3">
        <f t="shared" si="15"/>
        <v>-11966.6646180323</v>
      </c>
    </row>
    <row r="417" spans="1:13">
      <c r="A417" s="9" t="s">
        <v>1155</v>
      </c>
      <c r="B417" s="9" t="s">
        <v>227</v>
      </c>
      <c r="C417" s="9" t="s">
        <v>1550</v>
      </c>
      <c r="D417" s="4" t="s">
        <v>1156</v>
      </c>
      <c r="E417" s="14" t="s">
        <v>1156</v>
      </c>
      <c r="F417" s="14" t="s">
        <v>1157</v>
      </c>
      <c r="G417" s="14" t="s">
        <v>1155</v>
      </c>
      <c r="H417" s="9" t="s">
        <v>2345</v>
      </c>
      <c r="I417" s="3">
        <v>3963180.6127158604</v>
      </c>
      <c r="J417" s="3">
        <v>705422.10975396121</v>
      </c>
      <c r="K417" s="3">
        <f t="shared" si="14"/>
        <v>4668602.7224698216</v>
      </c>
      <c r="L417" s="3">
        <f>IFERROR(INDEX('CHIRP Payment Calc'!K:K,MATCH(A:A,'CHIRP Payment Calc'!A:A,0)),0)</f>
        <v>7343318.1577358907</v>
      </c>
      <c r="M417" s="3">
        <f t="shared" si="15"/>
        <v>-2674715.4352660691</v>
      </c>
    </row>
    <row r="418" spans="1:13">
      <c r="A418" s="9" t="s">
        <v>106</v>
      </c>
      <c r="B418" s="9" t="s">
        <v>227</v>
      </c>
      <c r="C418" s="9" t="s">
        <v>1550</v>
      </c>
      <c r="D418" s="4" t="s">
        <v>107</v>
      </c>
      <c r="E418" s="14" t="s">
        <v>107</v>
      </c>
      <c r="F418" s="14" t="s">
        <v>108</v>
      </c>
      <c r="G418" s="14" t="s">
        <v>106</v>
      </c>
      <c r="H418" s="9" t="s">
        <v>2344</v>
      </c>
      <c r="I418" s="3">
        <v>715941.74687779718</v>
      </c>
      <c r="J418" s="3">
        <v>199542.68752977805</v>
      </c>
      <c r="K418" s="3">
        <f t="shared" si="14"/>
        <v>915484.43440757529</v>
      </c>
      <c r="L418" s="3">
        <f>IFERROR(INDEX('CHIRP Payment Calc'!K:K,MATCH(A:A,'CHIRP Payment Calc'!A:A,0)),0)</f>
        <v>1008387.0212449706</v>
      </c>
      <c r="M418" s="3">
        <f t="shared" si="15"/>
        <v>-92902.586837395327</v>
      </c>
    </row>
    <row r="419" spans="1:13">
      <c r="A419" s="9" t="s">
        <v>729</v>
      </c>
      <c r="B419" s="9" t="s">
        <v>227</v>
      </c>
      <c r="C419" s="9" t="s">
        <v>1550</v>
      </c>
      <c r="D419" s="4" t="s">
        <v>730</v>
      </c>
      <c r="E419" s="14" t="s">
        <v>730</v>
      </c>
      <c r="F419" s="14" t="s">
        <v>731</v>
      </c>
      <c r="G419" s="14" t="s">
        <v>729</v>
      </c>
      <c r="H419" s="9" t="s">
        <v>1964</v>
      </c>
      <c r="I419" s="3">
        <v>183410.28731122456</v>
      </c>
      <c r="J419" s="3">
        <v>153402.59403234691</v>
      </c>
      <c r="K419" s="3">
        <f t="shared" si="14"/>
        <v>336812.88134357147</v>
      </c>
      <c r="L419" s="3">
        <f>IFERROR(INDEX('CHIRP Payment Calc'!K:K,MATCH(A:A,'CHIRP Payment Calc'!A:A,0)),0)</f>
        <v>639652.40798346791</v>
      </c>
      <c r="M419" s="3">
        <f t="shared" si="15"/>
        <v>-302839.52663989644</v>
      </c>
    </row>
    <row r="420" spans="1:13">
      <c r="A420" s="9" t="s">
        <v>497</v>
      </c>
      <c r="B420" s="9" t="s">
        <v>227</v>
      </c>
      <c r="C420" s="9" t="s">
        <v>1550</v>
      </c>
      <c r="D420" s="4" t="s">
        <v>498</v>
      </c>
      <c r="E420" s="14" t="s">
        <v>498</v>
      </c>
      <c r="F420" s="14" t="s">
        <v>499</v>
      </c>
      <c r="G420" s="14" t="s">
        <v>497</v>
      </c>
      <c r="H420" s="9" t="s">
        <v>2135</v>
      </c>
      <c r="I420" s="3">
        <v>1813279.509402121</v>
      </c>
      <c r="J420" s="3">
        <v>161773.38437254835</v>
      </c>
      <c r="K420" s="3">
        <f t="shared" si="14"/>
        <v>1975052.8937746694</v>
      </c>
      <c r="L420" s="3">
        <f>IFERROR(INDEX('CHIRP Payment Calc'!K:K,MATCH(A:A,'CHIRP Payment Calc'!A:A,0)),0)</f>
        <v>3323817.9946534513</v>
      </c>
      <c r="M420" s="3">
        <f t="shared" si="15"/>
        <v>-1348765.1008787819</v>
      </c>
    </row>
    <row r="421" spans="1:13">
      <c r="A421" s="9" t="s">
        <v>741</v>
      </c>
      <c r="B421" s="9" t="s">
        <v>227</v>
      </c>
      <c r="C421" s="9" t="s">
        <v>1550</v>
      </c>
      <c r="D421" s="4" t="s">
        <v>742</v>
      </c>
      <c r="E421" s="14" t="s">
        <v>742</v>
      </c>
      <c r="F421" s="14" t="s">
        <v>743</v>
      </c>
      <c r="G421" s="14" t="s">
        <v>741</v>
      </c>
      <c r="H421" s="9" t="s">
        <v>2157</v>
      </c>
      <c r="I421" s="3">
        <v>110680.56800780549</v>
      </c>
      <c r="J421" s="3">
        <v>48419.463506288179</v>
      </c>
      <c r="K421" s="3">
        <f t="shared" si="14"/>
        <v>159100.03151409366</v>
      </c>
      <c r="L421" s="3">
        <f>IFERROR(INDEX('CHIRP Payment Calc'!K:K,MATCH(A:A,'CHIRP Payment Calc'!A:A,0)),0)</f>
        <v>285592.42431186384</v>
      </c>
      <c r="M421" s="3">
        <f t="shared" si="15"/>
        <v>-126492.39279777018</v>
      </c>
    </row>
    <row r="422" spans="1:13">
      <c r="A422" s="9" t="s">
        <v>892</v>
      </c>
      <c r="B422" s="9" t="s">
        <v>227</v>
      </c>
      <c r="C422" s="9" t="s">
        <v>1550</v>
      </c>
      <c r="D422" s="4" t="s">
        <v>893</v>
      </c>
      <c r="E422" s="14" t="s">
        <v>893</v>
      </c>
      <c r="F422" s="14" t="s">
        <v>894</v>
      </c>
      <c r="G422" s="14" t="s">
        <v>892</v>
      </c>
      <c r="H422" s="9" t="s">
        <v>2343</v>
      </c>
      <c r="I422" s="3">
        <v>195621.52820092064</v>
      </c>
      <c r="J422" s="3">
        <v>154297.63363329618</v>
      </c>
      <c r="K422" s="3">
        <f t="shared" si="14"/>
        <v>349919.16183421679</v>
      </c>
      <c r="L422" s="3">
        <f>IFERROR(INDEX('CHIRP Payment Calc'!K:K,MATCH(A:A,'CHIRP Payment Calc'!A:A,0)),0)</f>
        <v>382346.05679043382</v>
      </c>
      <c r="M422" s="3">
        <f t="shared" si="15"/>
        <v>-32426.894956217031</v>
      </c>
    </row>
    <row r="423" spans="1:13">
      <c r="A423" s="9" t="s">
        <v>512</v>
      </c>
      <c r="B423" s="9" t="s">
        <v>227</v>
      </c>
      <c r="C423" s="9" t="s">
        <v>1550</v>
      </c>
      <c r="D423" s="4" t="s">
        <v>513</v>
      </c>
      <c r="E423" s="14" t="s">
        <v>513</v>
      </c>
      <c r="F423" s="14" t="s">
        <v>514</v>
      </c>
      <c r="G423" s="14" t="s">
        <v>512</v>
      </c>
      <c r="H423" s="9" t="s">
        <v>2342</v>
      </c>
      <c r="I423" s="3">
        <v>336769.15454063856</v>
      </c>
      <c r="J423" s="3">
        <v>84185.10431056915</v>
      </c>
      <c r="K423" s="3">
        <f t="shared" si="14"/>
        <v>420954.25885120768</v>
      </c>
      <c r="L423" s="3">
        <f>IFERROR(INDEX('CHIRP Payment Calc'!K:K,MATCH(A:A,'CHIRP Payment Calc'!A:A,0)),0)</f>
        <v>879966.48507954367</v>
      </c>
      <c r="M423" s="3">
        <f t="shared" si="15"/>
        <v>-459012.22622833599</v>
      </c>
    </row>
    <row r="424" spans="1:13">
      <c r="A424" s="9" t="s">
        <v>926</v>
      </c>
      <c r="B424" s="9" t="s">
        <v>227</v>
      </c>
      <c r="C424" s="9" t="s">
        <v>1550</v>
      </c>
      <c r="D424" s="4" t="s">
        <v>927</v>
      </c>
      <c r="E424" s="14" t="s">
        <v>927</v>
      </c>
      <c r="F424" s="14" t="s">
        <v>928</v>
      </c>
      <c r="G424" s="14" t="s">
        <v>926</v>
      </c>
      <c r="H424" s="9" t="s">
        <v>2341</v>
      </c>
      <c r="I424" s="3">
        <v>37257.606665689273</v>
      </c>
      <c r="J424" s="3">
        <v>17137.781873665695</v>
      </c>
      <c r="K424" s="3">
        <f t="shared" si="14"/>
        <v>54395.388539354972</v>
      </c>
      <c r="L424" s="3">
        <f>IFERROR(INDEX('CHIRP Payment Calc'!K:K,MATCH(A:A,'CHIRP Payment Calc'!A:A,0)),0)</f>
        <v>0</v>
      </c>
      <c r="M424" s="3">
        <f t="shared" si="15"/>
        <v>54395.388539354972</v>
      </c>
    </row>
    <row r="425" spans="1:13">
      <c r="A425" s="9" t="s">
        <v>500</v>
      </c>
      <c r="B425" s="9" t="s">
        <v>227</v>
      </c>
      <c r="C425" s="9" t="s">
        <v>1550</v>
      </c>
      <c r="D425" s="4" t="s">
        <v>501</v>
      </c>
      <c r="E425" s="14" t="s">
        <v>501</v>
      </c>
      <c r="F425" s="14" t="s">
        <v>502</v>
      </c>
      <c r="G425" s="14" t="s">
        <v>500</v>
      </c>
      <c r="H425" s="9" t="s">
        <v>2123</v>
      </c>
      <c r="I425" s="3">
        <v>88342.023109701739</v>
      </c>
      <c r="J425" s="3">
        <v>73121.4286645721</v>
      </c>
      <c r="K425" s="3">
        <f t="shared" si="14"/>
        <v>161463.45177427382</v>
      </c>
      <c r="L425" s="3">
        <f>IFERROR(INDEX('CHIRP Payment Calc'!K:K,MATCH(A:A,'CHIRP Payment Calc'!A:A,0)),0)</f>
        <v>346963.00288493984</v>
      </c>
      <c r="M425" s="3">
        <f t="shared" si="15"/>
        <v>-185499.55111066601</v>
      </c>
    </row>
    <row r="426" spans="1:13">
      <c r="A426" s="9" t="s">
        <v>941</v>
      </c>
      <c r="B426" s="9" t="s">
        <v>227</v>
      </c>
      <c r="C426" s="9" t="s">
        <v>1550</v>
      </c>
      <c r="D426" s="4" t="s">
        <v>942</v>
      </c>
      <c r="E426" s="14" t="s">
        <v>942</v>
      </c>
      <c r="F426" s="14" t="s">
        <v>943</v>
      </c>
      <c r="G426" s="14" t="s">
        <v>941</v>
      </c>
      <c r="H426" s="9" t="s">
        <v>1803</v>
      </c>
      <c r="I426" s="3">
        <v>358641.44904059003</v>
      </c>
      <c r="J426" s="3">
        <v>79820.704450409394</v>
      </c>
      <c r="K426" s="3">
        <f t="shared" si="14"/>
        <v>438462.15349099942</v>
      </c>
      <c r="L426" s="3">
        <f>IFERROR(INDEX('CHIRP Payment Calc'!K:K,MATCH(A:A,'CHIRP Payment Calc'!A:A,0)),0)</f>
        <v>1404492.8968913343</v>
      </c>
      <c r="M426" s="3">
        <f t="shared" si="15"/>
        <v>-966030.74340033485</v>
      </c>
    </row>
    <row r="427" spans="1:13">
      <c r="A427" s="9" t="s">
        <v>992</v>
      </c>
      <c r="B427" s="9" t="s">
        <v>227</v>
      </c>
      <c r="C427" s="9" t="s">
        <v>1550</v>
      </c>
      <c r="D427" s="4" t="s">
        <v>993</v>
      </c>
      <c r="E427" s="14" t="s">
        <v>993</v>
      </c>
      <c r="F427" s="14" t="s">
        <v>994</v>
      </c>
      <c r="G427" s="14" t="s">
        <v>992</v>
      </c>
      <c r="H427" s="9" t="s">
        <v>1755</v>
      </c>
      <c r="I427" s="3">
        <v>1535854.1760596756</v>
      </c>
      <c r="J427" s="3">
        <v>368116.34213089227</v>
      </c>
      <c r="K427" s="3">
        <f t="shared" si="14"/>
        <v>1903970.5181905678</v>
      </c>
      <c r="L427" s="3">
        <f>IFERROR(INDEX('CHIRP Payment Calc'!K:K,MATCH(A:A,'CHIRP Payment Calc'!A:A,0)),0)</f>
        <v>3617877.7742209448</v>
      </c>
      <c r="M427" s="3">
        <f t="shared" si="15"/>
        <v>-1713907.256030377</v>
      </c>
    </row>
    <row r="428" spans="1:13">
      <c r="A428" s="9" t="s">
        <v>1681</v>
      </c>
      <c r="B428" s="9" t="s">
        <v>227</v>
      </c>
      <c r="C428" s="9" t="s">
        <v>1550</v>
      </c>
      <c r="D428" s="4" t="s">
        <v>1683</v>
      </c>
      <c r="E428" s="14" t="s">
        <v>1683</v>
      </c>
      <c r="F428" s="14" t="s">
        <v>1680</v>
      </c>
      <c r="G428" s="14" t="s">
        <v>1681</v>
      </c>
      <c r="H428" s="9" t="s">
        <v>1680</v>
      </c>
      <c r="I428" s="3">
        <v>213409.02240960891</v>
      </c>
      <c r="J428" s="3">
        <v>135448.08190417226</v>
      </c>
      <c r="K428" s="3">
        <f t="shared" si="14"/>
        <v>348857.10431378114</v>
      </c>
      <c r="L428" s="3">
        <f>IFERROR(INDEX('CHIRP Payment Calc'!K:K,MATCH(A:A,'CHIRP Payment Calc'!A:A,0)),0)</f>
        <v>712554.51258122269</v>
      </c>
      <c r="M428" s="3">
        <f t="shared" si="15"/>
        <v>-363697.40826744155</v>
      </c>
    </row>
    <row r="429" spans="1:13">
      <c r="A429" s="9" t="s">
        <v>986</v>
      </c>
      <c r="B429" s="9" t="s">
        <v>227</v>
      </c>
      <c r="C429" s="9" t="s">
        <v>1550</v>
      </c>
      <c r="D429" s="4" t="s">
        <v>987</v>
      </c>
      <c r="E429" s="14" t="s">
        <v>987</v>
      </c>
      <c r="F429" s="14" t="s">
        <v>988</v>
      </c>
      <c r="G429" s="14" t="s">
        <v>986</v>
      </c>
      <c r="H429" s="9" t="s">
        <v>2340</v>
      </c>
      <c r="I429" s="3">
        <v>37191.841967893051</v>
      </c>
      <c r="J429" s="3">
        <v>2767.4390746705321</v>
      </c>
      <c r="K429" s="3">
        <f t="shared" si="14"/>
        <v>39959.281042563583</v>
      </c>
      <c r="L429" s="3">
        <f>IFERROR(INDEX('CHIRP Payment Calc'!K:K,MATCH(A:A,'CHIRP Payment Calc'!A:A,0)),0)</f>
        <v>0</v>
      </c>
      <c r="M429" s="3">
        <f t="shared" si="15"/>
        <v>39959.281042563583</v>
      </c>
    </row>
    <row r="430" spans="1:13">
      <c r="A430" s="9" t="s">
        <v>674</v>
      </c>
      <c r="B430" s="9" t="s">
        <v>227</v>
      </c>
      <c r="C430" s="9" t="s">
        <v>1550</v>
      </c>
      <c r="D430" s="4" t="s">
        <v>675</v>
      </c>
      <c r="E430" s="14" t="s">
        <v>675</v>
      </c>
      <c r="F430" s="14" t="s">
        <v>676</v>
      </c>
      <c r="G430" s="14" t="s">
        <v>674</v>
      </c>
      <c r="H430" s="9" t="s">
        <v>2339</v>
      </c>
      <c r="I430" s="3">
        <v>146572.43116373807</v>
      </c>
      <c r="J430" s="3">
        <v>68943.087940630881</v>
      </c>
      <c r="K430" s="3">
        <f t="shared" si="14"/>
        <v>215515.51910436896</v>
      </c>
      <c r="L430" s="3">
        <f>IFERROR(INDEX('CHIRP Payment Calc'!K:K,MATCH(A:A,'CHIRP Payment Calc'!A:A,0)),0)</f>
        <v>313508.03959914215</v>
      </c>
      <c r="M430" s="3">
        <f t="shared" si="15"/>
        <v>-97992.520494773198</v>
      </c>
    </row>
    <row r="431" spans="1:13">
      <c r="A431" s="9" t="s">
        <v>620</v>
      </c>
      <c r="B431" s="9" t="s">
        <v>227</v>
      </c>
      <c r="C431" s="9" t="s">
        <v>1550</v>
      </c>
      <c r="D431" s="4" t="s">
        <v>621</v>
      </c>
      <c r="E431" s="14" t="s">
        <v>621</v>
      </c>
      <c r="F431" s="14" t="s">
        <v>622</v>
      </c>
      <c r="G431" s="14" t="s">
        <v>620</v>
      </c>
      <c r="H431" s="9" t="s">
        <v>2338</v>
      </c>
      <c r="I431" s="3">
        <v>298096.48855154152</v>
      </c>
      <c r="J431" s="3">
        <v>363258.20481093042</v>
      </c>
      <c r="K431" s="3">
        <f t="shared" si="14"/>
        <v>661354.69336247188</v>
      </c>
      <c r="L431" s="3">
        <f>IFERROR(INDEX('CHIRP Payment Calc'!K:K,MATCH(A:A,'CHIRP Payment Calc'!A:A,0)),0)</f>
        <v>1413816.5923816375</v>
      </c>
      <c r="M431" s="3">
        <f t="shared" si="15"/>
        <v>-752461.89901916566</v>
      </c>
    </row>
    <row r="432" spans="1:13">
      <c r="A432" s="9" t="s">
        <v>650</v>
      </c>
      <c r="B432" s="9" t="s">
        <v>227</v>
      </c>
      <c r="C432" s="9" t="s">
        <v>1550</v>
      </c>
      <c r="D432" s="4" t="s">
        <v>651</v>
      </c>
      <c r="E432" s="14" t="s">
        <v>651</v>
      </c>
      <c r="F432" s="14" t="s">
        <v>652</v>
      </c>
      <c r="G432" s="14" t="s">
        <v>650</v>
      </c>
      <c r="H432" s="9" t="s">
        <v>2043</v>
      </c>
      <c r="I432" s="3">
        <v>66259.609060111237</v>
      </c>
      <c r="J432" s="3">
        <v>19479.070075288288</v>
      </c>
      <c r="K432" s="3">
        <f t="shared" si="14"/>
        <v>85738.679135399521</v>
      </c>
      <c r="L432" s="3">
        <f>IFERROR(INDEX('CHIRP Payment Calc'!K:K,MATCH(A:A,'CHIRP Payment Calc'!A:A,0)),0)</f>
        <v>0</v>
      </c>
      <c r="M432" s="3">
        <f t="shared" si="15"/>
        <v>85738.679135399521</v>
      </c>
    </row>
    <row r="433" spans="1:13">
      <c r="A433" s="9" t="s">
        <v>587</v>
      </c>
      <c r="B433" s="9" t="s">
        <v>227</v>
      </c>
      <c r="C433" s="9" t="s">
        <v>1550</v>
      </c>
      <c r="D433" s="4" t="s">
        <v>588</v>
      </c>
      <c r="E433" s="14" t="s">
        <v>588</v>
      </c>
      <c r="F433" s="14" t="s">
        <v>589</v>
      </c>
      <c r="G433" s="14" t="s">
        <v>587</v>
      </c>
      <c r="H433" s="9" t="s">
        <v>2337</v>
      </c>
      <c r="I433" s="3">
        <v>1033255.5377479783</v>
      </c>
      <c r="J433" s="3">
        <v>265789.10138199723</v>
      </c>
      <c r="K433" s="3">
        <f t="shared" si="14"/>
        <v>1299044.6391299756</v>
      </c>
      <c r="L433" s="3">
        <f>IFERROR(INDEX('CHIRP Payment Calc'!K:K,MATCH(A:A,'CHIRP Payment Calc'!A:A,0)),0)</f>
        <v>2132055.3912474667</v>
      </c>
      <c r="M433" s="3">
        <f t="shared" si="15"/>
        <v>-833010.75211749109</v>
      </c>
    </row>
    <row r="434" spans="1:13">
      <c r="A434" s="9" t="s">
        <v>1140</v>
      </c>
      <c r="B434" s="9" t="s">
        <v>227</v>
      </c>
      <c r="C434" s="9" t="s">
        <v>1550</v>
      </c>
      <c r="D434" s="4" t="s">
        <v>1141</v>
      </c>
      <c r="E434" s="14" t="s">
        <v>1141</v>
      </c>
      <c r="F434" s="14" t="s">
        <v>1142</v>
      </c>
      <c r="G434" s="14" t="s">
        <v>1140</v>
      </c>
      <c r="H434" s="9" t="s">
        <v>2336</v>
      </c>
      <c r="I434" s="3">
        <v>24292.566210572131</v>
      </c>
      <c r="J434" s="3">
        <v>3745.0164691634982</v>
      </c>
      <c r="K434" s="3">
        <f t="shared" si="14"/>
        <v>28037.582679735628</v>
      </c>
      <c r="L434" s="3">
        <f>IFERROR(INDEX('CHIRP Payment Calc'!K:K,MATCH(A:A,'CHIRP Payment Calc'!A:A,0)),0)</f>
        <v>40414.8322076888</v>
      </c>
      <c r="M434" s="3">
        <f t="shared" si="15"/>
        <v>-12377.249527953172</v>
      </c>
    </row>
    <row r="435" spans="1:13">
      <c r="A435" s="9" t="s">
        <v>2189</v>
      </c>
      <c r="B435" s="15" t="s">
        <v>300</v>
      </c>
      <c r="C435" s="15" t="s">
        <v>2236</v>
      </c>
      <c r="D435" s="4" t="s">
        <v>2190</v>
      </c>
      <c r="E435" s="14" t="s">
        <v>2800</v>
      </c>
      <c r="F435" s="14" t="e">
        <v>#N/A</v>
      </c>
      <c r="G435" s="14" t="s">
        <v>2800</v>
      </c>
      <c r="H435" s="9" t="s">
        <v>2584</v>
      </c>
      <c r="I435" s="3">
        <v>3742.4042268523194</v>
      </c>
      <c r="J435" s="3">
        <v>0</v>
      </c>
      <c r="K435" s="3">
        <f t="shared" si="14"/>
        <v>3742.4042268523194</v>
      </c>
      <c r="L435" s="3">
        <f>IFERROR(INDEX('CHIRP Payment Calc'!K:K,MATCH(A:A,'CHIRP Payment Calc'!A:A,0)),0)</f>
        <v>0</v>
      </c>
      <c r="M435" s="3">
        <f t="shared" si="15"/>
        <v>3742.4042268523194</v>
      </c>
    </row>
    <row r="436" spans="1:13">
      <c r="A436" s="9" t="s">
        <v>932</v>
      </c>
      <c r="B436" s="9" t="s">
        <v>227</v>
      </c>
      <c r="C436" s="9" t="s">
        <v>1550</v>
      </c>
      <c r="D436" s="4" t="s">
        <v>933</v>
      </c>
      <c r="E436" s="14" t="s">
        <v>933</v>
      </c>
      <c r="F436" s="14" t="s">
        <v>934</v>
      </c>
      <c r="G436" s="14" t="s">
        <v>932</v>
      </c>
      <c r="H436" s="9" t="s">
        <v>2334</v>
      </c>
      <c r="I436" s="3">
        <v>68307.112085515051</v>
      </c>
      <c r="J436" s="3">
        <v>1277.7388281490983</v>
      </c>
      <c r="K436" s="3">
        <f t="shared" si="14"/>
        <v>69584.850913664151</v>
      </c>
      <c r="L436" s="3">
        <f>IFERROR(INDEX('CHIRP Payment Calc'!K:K,MATCH(A:A,'CHIRP Payment Calc'!A:A,0)),0)</f>
        <v>0</v>
      </c>
      <c r="M436" s="3">
        <f t="shared" si="15"/>
        <v>69584.850913664151</v>
      </c>
    </row>
    <row r="437" spans="1:13">
      <c r="A437" s="9" t="s">
        <v>614</v>
      </c>
      <c r="B437" s="9" t="s">
        <v>227</v>
      </c>
      <c r="C437" s="9" t="s">
        <v>1550</v>
      </c>
      <c r="D437" s="4" t="s">
        <v>615</v>
      </c>
      <c r="E437" s="14" t="s">
        <v>615</v>
      </c>
      <c r="F437" s="14" t="s">
        <v>616</v>
      </c>
      <c r="G437" s="14" t="s">
        <v>614</v>
      </c>
      <c r="H437" s="9" t="s">
        <v>2065</v>
      </c>
      <c r="I437" s="3">
        <v>98755.82566458144</v>
      </c>
      <c r="J437" s="3">
        <v>63403.231032785479</v>
      </c>
      <c r="K437" s="3">
        <f t="shared" si="14"/>
        <v>162159.05669736693</v>
      </c>
      <c r="L437" s="3">
        <f>IFERROR(INDEX('CHIRP Payment Calc'!K:K,MATCH(A:A,'CHIRP Payment Calc'!A:A,0)),0)</f>
        <v>336400.86561885575</v>
      </c>
      <c r="M437" s="3">
        <f t="shared" si="15"/>
        <v>-174241.80892148882</v>
      </c>
    </row>
    <row r="438" spans="1:13">
      <c r="A438" s="9" t="s">
        <v>10</v>
      </c>
      <c r="B438" s="9" t="s">
        <v>227</v>
      </c>
      <c r="C438" s="9" t="s">
        <v>1550</v>
      </c>
      <c r="D438" s="4" t="s">
        <v>11</v>
      </c>
      <c r="E438" s="14" t="s">
        <v>11</v>
      </c>
      <c r="F438" s="14" t="s">
        <v>12</v>
      </c>
      <c r="G438" s="14" t="s">
        <v>10</v>
      </c>
      <c r="H438" s="9" t="s">
        <v>2333</v>
      </c>
      <c r="I438" s="3">
        <v>48914.502480717892</v>
      </c>
      <c r="J438" s="3">
        <v>82117.667746919658</v>
      </c>
      <c r="K438" s="3">
        <f t="shared" si="14"/>
        <v>131032.17022763754</v>
      </c>
      <c r="L438" s="3">
        <f>IFERROR(INDEX('CHIRP Payment Calc'!K:K,MATCH(A:A,'CHIRP Payment Calc'!A:A,0)),0)</f>
        <v>264767.88594708574</v>
      </c>
      <c r="M438" s="3">
        <f t="shared" si="15"/>
        <v>-133735.7157194482</v>
      </c>
    </row>
    <row r="439" spans="1:13">
      <c r="A439" s="9" t="s">
        <v>695</v>
      </c>
      <c r="B439" s="9" t="s">
        <v>227</v>
      </c>
      <c r="C439" s="9" t="s">
        <v>1550</v>
      </c>
      <c r="D439" s="4" t="s">
        <v>696</v>
      </c>
      <c r="E439" s="14" t="s">
        <v>696</v>
      </c>
      <c r="F439" s="14" t="s">
        <v>697</v>
      </c>
      <c r="G439" s="14" t="s">
        <v>695</v>
      </c>
      <c r="H439" s="9" t="s">
        <v>2332</v>
      </c>
      <c r="I439" s="3">
        <v>56852.750113464812</v>
      </c>
      <c r="J439" s="3">
        <v>67696.339142312339</v>
      </c>
      <c r="K439" s="3">
        <f t="shared" si="14"/>
        <v>124549.08925577716</v>
      </c>
      <c r="L439" s="3">
        <f>IFERROR(INDEX('CHIRP Payment Calc'!K:K,MATCH(A:A,'CHIRP Payment Calc'!A:A,0)),0)</f>
        <v>0</v>
      </c>
      <c r="M439" s="3">
        <f t="shared" si="15"/>
        <v>124549.08925577716</v>
      </c>
    </row>
    <row r="440" spans="1:13">
      <c r="A440" s="9" t="s">
        <v>1037</v>
      </c>
      <c r="B440" s="9" t="s">
        <v>227</v>
      </c>
      <c r="C440" s="9" t="s">
        <v>1550</v>
      </c>
      <c r="D440" s="4" t="s">
        <v>1038</v>
      </c>
      <c r="E440" s="14" t="s">
        <v>1038</v>
      </c>
      <c r="F440" s="14" t="s">
        <v>1039</v>
      </c>
      <c r="G440" s="14" t="s">
        <v>1037</v>
      </c>
      <c r="H440" s="9" t="s">
        <v>1724</v>
      </c>
      <c r="I440" s="3">
        <v>82970.029886302713</v>
      </c>
      <c r="J440" s="3">
        <v>14104.527145648784</v>
      </c>
      <c r="K440" s="3">
        <f t="shared" si="14"/>
        <v>97074.557031951495</v>
      </c>
      <c r="L440" s="3">
        <f>IFERROR(INDEX('CHIRP Payment Calc'!K:K,MATCH(A:A,'CHIRP Payment Calc'!A:A,0)),0)</f>
        <v>0</v>
      </c>
      <c r="M440" s="3">
        <f t="shared" si="15"/>
        <v>97074.557031951495</v>
      </c>
    </row>
    <row r="441" spans="1:13">
      <c r="A441" s="9" t="s">
        <v>2147</v>
      </c>
      <c r="B441" s="9" t="s">
        <v>227</v>
      </c>
      <c r="C441" s="9" t="s">
        <v>1550</v>
      </c>
      <c r="D441" s="4" t="s">
        <v>2146</v>
      </c>
      <c r="E441" s="14" t="s">
        <v>2146</v>
      </c>
      <c r="F441" s="14" t="e">
        <v>#N/A</v>
      </c>
      <c r="G441" s="14" t="s">
        <v>2147</v>
      </c>
      <c r="H441" s="9" t="s">
        <v>2148</v>
      </c>
      <c r="I441" s="3">
        <v>0</v>
      </c>
      <c r="J441" s="3">
        <v>0</v>
      </c>
      <c r="K441" s="3">
        <f t="shared" si="14"/>
        <v>0</v>
      </c>
      <c r="L441" s="3">
        <f>IFERROR(INDEX('CHIRP Payment Calc'!K:K,MATCH(A:A,'CHIRP Payment Calc'!A:A,0)),0)</f>
        <v>0</v>
      </c>
      <c r="M441" s="3">
        <f t="shared" si="15"/>
        <v>0</v>
      </c>
    </row>
    <row r="442" spans="1:13">
      <c r="A442" s="9" t="s">
        <v>744</v>
      </c>
      <c r="B442" s="9" t="s">
        <v>227</v>
      </c>
      <c r="C442" s="9" t="s">
        <v>1550</v>
      </c>
      <c r="D442" s="4" t="s">
        <v>745</v>
      </c>
      <c r="E442" s="14" t="s">
        <v>745</v>
      </c>
      <c r="F442" s="14" t="s">
        <v>746</v>
      </c>
      <c r="G442" s="14" t="s">
        <v>744</v>
      </c>
      <c r="H442" s="9" t="s">
        <v>1930</v>
      </c>
      <c r="I442" s="3">
        <v>65108.499852286513</v>
      </c>
      <c r="J442" s="3">
        <v>26963.521301499804</v>
      </c>
      <c r="K442" s="3">
        <f t="shared" si="14"/>
        <v>92072.021153786322</v>
      </c>
      <c r="L442" s="3">
        <f>IFERROR(INDEX('CHIRP Payment Calc'!K:K,MATCH(A:A,'CHIRP Payment Calc'!A:A,0)),0)</f>
        <v>152940.19429363127</v>
      </c>
      <c r="M442" s="3">
        <f t="shared" si="15"/>
        <v>-60868.173139844948</v>
      </c>
    </row>
    <row r="443" spans="1:13">
      <c r="A443" s="9" t="s">
        <v>1016</v>
      </c>
      <c r="B443" s="9" t="s">
        <v>227</v>
      </c>
      <c r="C443" s="9" t="s">
        <v>1550</v>
      </c>
      <c r="D443" s="4" t="s">
        <v>1017</v>
      </c>
      <c r="E443" s="14" t="s">
        <v>1017</v>
      </c>
      <c r="F443" s="14" t="s">
        <v>1018</v>
      </c>
      <c r="G443" s="14" t="s">
        <v>1016</v>
      </c>
      <c r="H443" s="9" t="s">
        <v>2331</v>
      </c>
      <c r="I443" s="3">
        <v>1261201.7701664264</v>
      </c>
      <c r="J443" s="3">
        <v>313258.84486407368</v>
      </c>
      <c r="K443" s="3">
        <f t="shared" si="14"/>
        <v>1574460.6150305001</v>
      </c>
      <c r="L443" s="3">
        <f>IFERROR(INDEX('CHIRP Payment Calc'!K:K,MATCH(A:A,'CHIRP Payment Calc'!A:A,0)),0)</f>
        <v>2979757.7962965732</v>
      </c>
      <c r="M443" s="3">
        <f t="shared" si="15"/>
        <v>-1405297.1812660731</v>
      </c>
    </row>
    <row r="444" spans="1:13">
      <c r="A444" s="9" t="s">
        <v>710</v>
      </c>
      <c r="B444" s="9" t="s">
        <v>227</v>
      </c>
      <c r="C444" s="9" t="s">
        <v>1550</v>
      </c>
      <c r="D444" s="4" t="s">
        <v>711</v>
      </c>
      <c r="E444" s="14" t="s">
        <v>711</v>
      </c>
      <c r="F444" s="14" t="s">
        <v>712</v>
      </c>
      <c r="G444" s="14" t="s">
        <v>710</v>
      </c>
      <c r="H444" s="9" t="s">
        <v>2330</v>
      </c>
      <c r="I444" s="3">
        <v>47246.855195330405</v>
      </c>
      <c r="J444" s="3">
        <v>41575.639237648356</v>
      </c>
      <c r="K444" s="3">
        <f t="shared" si="14"/>
        <v>88822.494432978769</v>
      </c>
      <c r="L444" s="3">
        <f>IFERROR(INDEX('CHIRP Payment Calc'!K:K,MATCH(A:A,'CHIRP Payment Calc'!A:A,0)),0)</f>
        <v>244197.60193299549</v>
      </c>
      <c r="M444" s="3">
        <f t="shared" si="15"/>
        <v>-155375.10750001672</v>
      </c>
    </row>
    <row r="445" spans="1:13">
      <c r="A445" s="9" t="s">
        <v>656</v>
      </c>
      <c r="B445" s="9" t="s">
        <v>227</v>
      </c>
      <c r="C445" s="9" t="s">
        <v>1550</v>
      </c>
      <c r="D445" s="4" t="s">
        <v>657</v>
      </c>
      <c r="E445" s="14" t="s">
        <v>657</v>
      </c>
      <c r="F445" s="14" t="s">
        <v>658</v>
      </c>
      <c r="G445" s="14" t="s">
        <v>656</v>
      </c>
      <c r="H445" s="9" t="s">
        <v>2038</v>
      </c>
      <c r="I445" s="3">
        <v>460497.85345824587</v>
      </c>
      <c r="J445" s="3">
        <v>70709.900402785759</v>
      </c>
      <c r="K445" s="3">
        <f t="shared" si="14"/>
        <v>531207.75386103161</v>
      </c>
      <c r="L445" s="3">
        <f>IFERROR(INDEX('CHIRP Payment Calc'!K:K,MATCH(A:A,'CHIRP Payment Calc'!A:A,0)),0)</f>
        <v>1081930.5076411141</v>
      </c>
      <c r="M445" s="3">
        <f t="shared" si="15"/>
        <v>-550722.75378008245</v>
      </c>
    </row>
    <row r="446" spans="1:13">
      <c r="A446" s="9" t="s">
        <v>819</v>
      </c>
      <c r="B446" s="9" t="s">
        <v>227</v>
      </c>
      <c r="C446" s="9" t="s">
        <v>1550</v>
      </c>
      <c r="D446" s="4" t="s">
        <v>820</v>
      </c>
      <c r="E446" s="14" t="s">
        <v>820</v>
      </c>
      <c r="F446" s="14" t="s">
        <v>821</v>
      </c>
      <c r="G446" s="14" t="s">
        <v>819</v>
      </c>
      <c r="H446" s="9" t="s">
        <v>1881</v>
      </c>
      <c r="I446" s="3">
        <v>272389.74576105137</v>
      </c>
      <c r="J446" s="3">
        <v>67559.535085221622</v>
      </c>
      <c r="K446" s="3">
        <f t="shared" si="14"/>
        <v>339949.280846273</v>
      </c>
      <c r="L446" s="3">
        <f>IFERROR(INDEX('CHIRP Payment Calc'!K:K,MATCH(A:A,'CHIRP Payment Calc'!A:A,0)),0)</f>
        <v>755718.68599865516</v>
      </c>
      <c r="M446" s="3">
        <f t="shared" si="15"/>
        <v>-415769.40515238215</v>
      </c>
    </row>
    <row r="447" spans="1:13">
      <c r="A447" s="9" t="s">
        <v>692</v>
      </c>
      <c r="B447" s="9" t="s">
        <v>227</v>
      </c>
      <c r="C447" s="9" t="s">
        <v>1550</v>
      </c>
      <c r="D447" s="4" t="s">
        <v>693</v>
      </c>
      <c r="E447" s="14" t="s">
        <v>693</v>
      </c>
      <c r="F447" s="14" t="s">
        <v>694</v>
      </c>
      <c r="G447" s="14" t="s">
        <v>692</v>
      </c>
      <c r="H447" s="9" t="s">
        <v>2329</v>
      </c>
      <c r="I447" s="3">
        <v>512247.93188698072</v>
      </c>
      <c r="J447" s="3">
        <v>360687.58120441221</v>
      </c>
      <c r="K447" s="3">
        <f t="shared" si="14"/>
        <v>872935.51309139293</v>
      </c>
      <c r="L447" s="3">
        <f>IFERROR(INDEX('CHIRP Payment Calc'!K:K,MATCH(A:A,'CHIRP Payment Calc'!A:A,0)),0)</f>
        <v>957196.47485268221</v>
      </c>
      <c r="M447" s="3">
        <f t="shared" si="15"/>
        <v>-84260.961761289276</v>
      </c>
    </row>
    <row r="448" spans="1:13">
      <c r="A448" s="9" t="s">
        <v>895</v>
      </c>
      <c r="B448" s="9" t="s">
        <v>227</v>
      </c>
      <c r="C448" s="9" t="s">
        <v>1550</v>
      </c>
      <c r="D448" s="4" t="s">
        <v>896</v>
      </c>
      <c r="E448" s="14" t="s">
        <v>896</v>
      </c>
      <c r="F448" s="14" t="s">
        <v>897</v>
      </c>
      <c r="G448" s="14" t="s">
        <v>895</v>
      </c>
      <c r="H448" s="9" t="s">
        <v>2328</v>
      </c>
      <c r="I448" s="3">
        <v>856007.44362025335</v>
      </c>
      <c r="J448" s="3">
        <v>142080.75998255346</v>
      </c>
      <c r="K448" s="3">
        <f t="shared" si="14"/>
        <v>998088.20360280678</v>
      </c>
      <c r="L448" s="3">
        <f>IFERROR(INDEX('CHIRP Payment Calc'!K:K,MATCH(A:A,'CHIRP Payment Calc'!A:A,0)),0)</f>
        <v>2522660.174223559</v>
      </c>
      <c r="M448" s="3">
        <f t="shared" si="15"/>
        <v>-1524571.9706207523</v>
      </c>
    </row>
    <row r="449" spans="1:13">
      <c r="A449" s="9" t="s">
        <v>665</v>
      </c>
      <c r="B449" s="9" t="s">
        <v>227</v>
      </c>
      <c r="C449" s="9" t="s">
        <v>1550</v>
      </c>
      <c r="D449" s="4" t="s">
        <v>666</v>
      </c>
      <c r="E449" s="14" t="s">
        <v>666</v>
      </c>
      <c r="F449" s="14" t="s">
        <v>667</v>
      </c>
      <c r="G449" s="14" t="s">
        <v>665</v>
      </c>
      <c r="H449" s="9" t="s">
        <v>2327</v>
      </c>
      <c r="I449" s="3">
        <v>545793.85989223176</v>
      </c>
      <c r="J449" s="3">
        <v>141675.13699910219</v>
      </c>
      <c r="K449" s="3">
        <f t="shared" si="14"/>
        <v>687468.99689133395</v>
      </c>
      <c r="L449" s="3">
        <f>IFERROR(INDEX('CHIRP Payment Calc'!K:K,MATCH(A:A,'CHIRP Payment Calc'!A:A,0)),0)</f>
        <v>1047138.2682646201</v>
      </c>
      <c r="M449" s="3">
        <f t="shared" si="15"/>
        <v>-359669.27137328614</v>
      </c>
    </row>
    <row r="450" spans="1:13">
      <c r="A450" s="9" t="s">
        <v>491</v>
      </c>
      <c r="B450" s="9" t="s">
        <v>227</v>
      </c>
      <c r="C450" s="9" t="s">
        <v>1550</v>
      </c>
      <c r="D450" s="4" t="s">
        <v>492</v>
      </c>
      <c r="E450" s="14" t="s">
        <v>492</v>
      </c>
      <c r="F450" s="14" t="s">
        <v>493</v>
      </c>
      <c r="G450" s="14" t="s">
        <v>491</v>
      </c>
      <c r="H450" s="9" t="s">
        <v>2326</v>
      </c>
      <c r="I450" s="3">
        <v>43974.030057716773</v>
      </c>
      <c r="J450" s="3">
        <v>21185.859132276841</v>
      </c>
      <c r="K450" s="3">
        <f t="shared" si="14"/>
        <v>65159.889189993613</v>
      </c>
      <c r="L450" s="3">
        <f>IFERROR(INDEX('CHIRP Payment Calc'!K:K,MATCH(A:A,'CHIRP Payment Calc'!A:A,0)),0)</f>
        <v>0</v>
      </c>
      <c r="M450" s="3">
        <f t="shared" si="15"/>
        <v>65159.889189993613</v>
      </c>
    </row>
    <row r="451" spans="1:13">
      <c r="A451" s="9" t="s">
        <v>471</v>
      </c>
      <c r="B451" s="9" t="s">
        <v>227</v>
      </c>
      <c r="C451" s="9" t="s">
        <v>1550</v>
      </c>
      <c r="D451" s="4" t="s">
        <v>472</v>
      </c>
      <c r="E451" s="14" t="s">
        <v>472</v>
      </c>
      <c r="F451" s="14" t="s">
        <v>473</v>
      </c>
      <c r="G451" s="14" t="s">
        <v>471</v>
      </c>
      <c r="H451" s="9" t="s">
        <v>2325</v>
      </c>
      <c r="I451" s="3">
        <v>5056539.9639384141</v>
      </c>
      <c r="J451" s="3">
        <v>1601923.3856011643</v>
      </c>
      <c r="K451" s="3">
        <f t="shared" si="14"/>
        <v>6658463.349539578</v>
      </c>
      <c r="L451" s="3">
        <f>IFERROR(INDEX('CHIRP Payment Calc'!K:K,MATCH(A:A,'CHIRP Payment Calc'!A:A,0)),0)</f>
        <v>15499371.756841421</v>
      </c>
      <c r="M451" s="3">
        <f t="shared" si="15"/>
        <v>-8840908.4073018432</v>
      </c>
    </row>
    <row r="452" spans="1:13">
      <c r="A452" s="9" t="s">
        <v>314</v>
      </c>
      <c r="B452" s="9" t="s">
        <v>227</v>
      </c>
      <c r="C452" s="9" t="s">
        <v>1550</v>
      </c>
      <c r="D452" s="4" t="s">
        <v>315</v>
      </c>
      <c r="E452" s="14" t="s">
        <v>315</v>
      </c>
      <c r="F452" s="14" t="s">
        <v>316</v>
      </c>
      <c r="G452" s="14" t="s">
        <v>314</v>
      </c>
      <c r="H452" s="9" t="s">
        <v>2324</v>
      </c>
      <c r="I452" s="3">
        <v>746424.87330299849</v>
      </c>
      <c r="J452" s="3">
        <v>139160.20474538018</v>
      </c>
      <c r="K452" s="3">
        <f t="shared" si="14"/>
        <v>885585.07804837869</v>
      </c>
      <c r="L452" s="3">
        <f>IFERROR(INDEX('CHIRP Payment Calc'!K:K,MATCH(A:A,'CHIRP Payment Calc'!A:A,0)),0)</f>
        <v>1592170.6685945457</v>
      </c>
      <c r="M452" s="3">
        <f t="shared" si="15"/>
        <v>-706585.59054616699</v>
      </c>
    </row>
    <row r="453" spans="1:13">
      <c r="A453" s="9" t="s">
        <v>668</v>
      </c>
      <c r="B453" s="9" t="s">
        <v>227</v>
      </c>
      <c r="C453" s="9" t="s">
        <v>1550</v>
      </c>
      <c r="D453" s="4" t="s">
        <v>669</v>
      </c>
      <c r="E453" s="14" t="s">
        <v>669</v>
      </c>
      <c r="F453" s="14" t="s">
        <v>670</v>
      </c>
      <c r="G453" s="14" t="s">
        <v>668</v>
      </c>
      <c r="H453" s="9" t="s">
        <v>2323</v>
      </c>
      <c r="I453" s="3">
        <v>652447.90501952625</v>
      </c>
      <c r="J453" s="3">
        <v>84866.299773181658</v>
      </c>
      <c r="K453" s="3">
        <f t="shared" si="14"/>
        <v>737314.20479270793</v>
      </c>
      <c r="L453" s="3">
        <f>IFERROR(INDEX('CHIRP Payment Calc'!K:K,MATCH(A:A,'CHIRP Payment Calc'!A:A,0)),0)</f>
        <v>1433649.9947953727</v>
      </c>
      <c r="M453" s="3">
        <f t="shared" si="15"/>
        <v>-696335.79000266478</v>
      </c>
    </row>
    <row r="454" spans="1:13">
      <c r="A454" s="9" t="s">
        <v>765</v>
      </c>
      <c r="B454" s="9" t="s">
        <v>227</v>
      </c>
      <c r="C454" s="9" t="s">
        <v>1550</v>
      </c>
      <c r="D454" s="4" t="s">
        <v>766</v>
      </c>
      <c r="E454" s="14" t="s">
        <v>766</v>
      </c>
      <c r="F454" s="14" t="s">
        <v>767</v>
      </c>
      <c r="G454" s="14" t="s">
        <v>765</v>
      </c>
      <c r="H454" s="9" t="s">
        <v>2322</v>
      </c>
      <c r="I454" s="3">
        <v>515500.13789081096</v>
      </c>
      <c r="J454" s="3">
        <v>103537.86202817292</v>
      </c>
      <c r="K454" s="3">
        <f t="shared" si="14"/>
        <v>619037.9999189839</v>
      </c>
      <c r="L454" s="3">
        <f>IFERROR(INDEX('CHIRP Payment Calc'!K:K,MATCH(A:A,'CHIRP Payment Calc'!A:A,0)),0)</f>
        <v>2586374.0981220235</v>
      </c>
      <c r="M454" s="3">
        <f t="shared" si="15"/>
        <v>-1967336.0982030397</v>
      </c>
    </row>
    <row r="455" spans="1:13">
      <c r="A455" s="9" t="s">
        <v>844</v>
      </c>
      <c r="B455" s="9" t="s">
        <v>227</v>
      </c>
      <c r="C455" s="9" t="s">
        <v>1550</v>
      </c>
      <c r="D455" s="4" t="s">
        <v>845</v>
      </c>
      <c r="E455" s="14" t="s">
        <v>845</v>
      </c>
      <c r="F455" s="14" t="s">
        <v>846</v>
      </c>
      <c r="G455" s="14" t="s">
        <v>844</v>
      </c>
      <c r="H455" s="9" t="s">
        <v>2321</v>
      </c>
      <c r="I455" s="3">
        <v>1398550.6654980308</v>
      </c>
      <c r="J455" s="3">
        <v>108795.85018694212</v>
      </c>
      <c r="K455" s="3">
        <f t="shared" si="14"/>
        <v>1507346.515684973</v>
      </c>
      <c r="L455" s="3">
        <f>IFERROR(INDEX('CHIRP Payment Calc'!K:K,MATCH(A:A,'CHIRP Payment Calc'!A:A,0)),0)</f>
        <v>2348910.884007968</v>
      </c>
      <c r="M455" s="3">
        <f t="shared" si="15"/>
        <v>-841564.36832299503</v>
      </c>
    </row>
    <row r="456" spans="1:13">
      <c r="A456" s="9" t="s">
        <v>801</v>
      </c>
      <c r="B456" s="9" t="s">
        <v>227</v>
      </c>
      <c r="C456" s="9" t="s">
        <v>1550</v>
      </c>
      <c r="D456" s="4" t="s">
        <v>802</v>
      </c>
      <c r="E456" s="14" t="s">
        <v>802</v>
      </c>
      <c r="F456" s="14" t="s">
        <v>803</v>
      </c>
      <c r="G456" s="14" t="s">
        <v>801</v>
      </c>
      <c r="H456" s="9" t="s">
        <v>2320</v>
      </c>
      <c r="I456" s="3">
        <v>151158.07275827628</v>
      </c>
      <c r="J456" s="3">
        <v>18066.312912805741</v>
      </c>
      <c r="K456" s="3">
        <f t="shared" ref="K456:K519" si="16">I456+J456</f>
        <v>169224.38567108201</v>
      </c>
      <c r="L456" s="3">
        <f>IFERROR(INDEX('CHIRP Payment Calc'!K:K,MATCH(A:A,'CHIRP Payment Calc'!A:A,0)),0)</f>
        <v>375487.03314474248</v>
      </c>
      <c r="M456" s="3">
        <f t="shared" ref="M456:M519" si="17">K456-L456</f>
        <v>-206262.64747366047</v>
      </c>
    </row>
    <row r="457" spans="1:13">
      <c r="A457" s="9" t="s">
        <v>359</v>
      </c>
      <c r="B457" s="9" t="s">
        <v>227</v>
      </c>
      <c r="C457" s="9" t="s">
        <v>1550</v>
      </c>
      <c r="D457" s="4" t="s">
        <v>360</v>
      </c>
      <c r="E457" s="14" t="s">
        <v>360</v>
      </c>
      <c r="F457" s="14" t="s">
        <v>361</v>
      </c>
      <c r="G457" s="14" t="s">
        <v>359</v>
      </c>
      <c r="H457" s="9" t="s">
        <v>1763</v>
      </c>
      <c r="I457" s="3">
        <v>886010.36650015088</v>
      </c>
      <c r="J457" s="3">
        <v>126715.74293529942</v>
      </c>
      <c r="K457" s="3">
        <f t="shared" si="16"/>
        <v>1012726.1094354503</v>
      </c>
      <c r="L457" s="3">
        <f>IFERROR(INDEX('CHIRP Payment Calc'!K:K,MATCH(A:A,'CHIRP Payment Calc'!A:A,0)),0)</f>
        <v>1919171.5192588894</v>
      </c>
      <c r="M457" s="3">
        <f t="shared" si="17"/>
        <v>-906445.40982343908</v>
      </c>
    </row>
    <row r="458" spans="1:13">
      <c r="A458" s="9" t="s">
        <v>735</v>
      </c>
      <c r="B458" s="9" t="s">
        <v>227</v>
      </c>
      <c r="C458" s="9" t="s">
        <v>1550</v>
      </c>
      <c r="D458" s="4" t="s">
        <v>736</v>
      </c>
      <c r="E458" s="14" t="s">
        <v>736</v>
      </c>
      <c r="F458" s="14" t="s">
        <v>737</v>
      </c>
      <c r="G458" s="14" t="s">
        <v>735</v>
      </c>
      <c r="H458" s="9" t="s">
        <v>1960</v>
      </c>
      <c r="I458" s="3">
        <v>209523.09145763612</v>
      </c>
      <c r="J458" s="3">
        <v>115286.55123839623</v>
      </c>
      <c r="K458" s="3">
        <f t="shared" si="16"/>
        <v>324809.64269603236</v>
      </c>
      <c r="L458" s="3">
        <f>IFERROR(INDEX('CHIRP Payment Calc'!K:K,MATCH(A:A,'CHIRP Payment Calc'!A:A,0)),0)</f>
        <v>543205.00234748586</v>
      </c>
      <c r="M458" s="3">
        <f t="shared" si="17"/>
        <v>-218395.3596514535</v>
      </c>
    </row>
    <row r="459" spans="1:13">
      <c r="A459" s="9" t="s">
        <v>698</v>
      </c>
      <c r="B459" s="9" t="s">
        <v>227</v>
      </c>
      <c r="C459" s="9" t="s">
        <v>1550</v>
      </c>
      <c r="D459" s="4" t="s">
        <v>699</v>
      </c>
      <c r="E459" s="14" t="s">
        <v>699</v>
      </c>
      <c r="F459" s="14" t="s">
        <v>700</v>
      </c>
      <c r="G459" s="14" t="s">
        <v>698</v>
      </c>
      <c r="H459" s="9" t="s">
        <v>2319</v>
      </c>
      <c r="I459" s="3">
        <v>135144.48094846724</v>
      </c>
      <c r="J459" s="3">
        <v>288691.56366941216</v>
      </c>
      <c r="K459" s="3">
        <f t="shared" si="16"/>
        <v>423836.04461787944</v>
      </c>
      <c r="L459" s="3">
        <f>IFERROR(INDEX('CHIRP Payment Calc'!K:K,MATCH(A:A,'CHIRP Payment Calc'!A:A,0)),0)</f>
        <v>718652.8303084881</v>
      </c>
      <c r="M459" s="3">
        <f t="shared" si="17"/>
        <v>-294816.78569060867</v>
      </c>
    </row>
    <row r="460" spans="1:13">
      <c r="A460" s="9" t="s">
        <v>155</v>
      </c>
      <c r="B460" s="9" t="s">
        <v>227</v>
      </c>
      <c r="C460" s="9" t="s">
        <v>1550</v>
      </c>
      <c r="D460" s="4" t="s">
        <v>156</v>
      </c>
      <c r="E460" s="14" t="s">
        <v>156</v>
      </c>
      <c r="F460" s="14" t="s">
        <v>157</v>
      </c>
      <c r="G460" s="14" t="s">
        <v>155</v>
      </c>
      <c r="H460" s="9" t="s">
        <v>2318</v>
      </c>
      <c r="I460" s="3">
        <v>304752.87674738426</v>
      </c>
      <c r="J460" s="3">
        <v>264945.08714714582</v>
      </c>
      <c r="K460" s="3">
        <f t="shared" si="16"/>
        <v>569697.96389453008</v>
      </c>
      <c r="L460" s="3">
        <f>IFERROR(INDEX('CHIRP Payment Calc'!K:K,MATCH(A:A,'CHIRP Payment Calc'!A:A,0)),0)</f>
        <v>999750.43587538437</v>
      </c>
      <c r="M460" s="3">
        <f t="shared" si="17"/>
        <v>-430052.47198085429</v>
      </c>
    </row>
    <row r="461" spans="1:13">
      <c r="A461" s="9" t="s">
        <v>2178</v>
      </c>
      <c r="B461" s="9" t="s">
        <v>227</v>
      </c>
      <c r="C461" s="9" t="s">
        <v>1550</v>
      </c>
      <c r="D461" s="4" t="s">
        <v>2176</v>
      </c>
      <c r="E461" s="14" t="s">
        <v>2176</v>
      </c>
      <c r="F461" s="14" t="s">
        <v>2202</v>
      </c>
      <c r="G461" s="14" t="s">
        <v>2178</v>
      </c>
      <c r="H461" s="9" t="s">
        <v>2202</v>
      </c>
      <c r="I461" s="3">
        <v>52887.715284429381</v>
      </c>
      <c r="J461" s="3">
        <v>10886.067102202154</v>
      </c>
      <c r="K461" s="3">
        <f t="shared" si="16"/>
        <v>63773.782386631538</v>
      </c>
      <c r="L461" s="3">
        <f>IFERROR(INDEX('CHIRP Payment Calc'!K:K,MATCH(A:A,'CHIRP Payment Calc'!A:A,0)),0)</f>
        <v>0</v>
      </c>
      <c r="M461" s="3">
        <f t="shared" si="17"/>
        <v>63773.782386631538</v>
      </c>
    </row>
    <row r="462" spans="1:13">
      <c r="A462" s="9" t="s">
        <v>617</v>
      </c>
      <c r="B462" s="9" t="s">
        <v>227</v>
      </c>
      <c r="C462" s="9" t="s">
        <v>1550</v>
      </c>
      <c r="D462" s="4" t="s">
        <v>618</v>
      </c>
      <c r="E462" s="14" t="s">
        <v>618</v>
      </c>
      <c r="F462" s="14" t="s">
        <v>619</v>
      </c>
      <c r="G462" s="14" t="s">
        <v>617</v>
      </c>
      <c r="H462" s="9" t="s">
        <v>2150</v>
      </c>
      <c r="I462" s="3">
        <v>19218.467098799683</v>
      </c>
      <c r="J462" s="3">
        <v>13208.456112285563</v>
      </c>
      <c r="K462" s="3">
        <f t="shared" si="16"/>
        <v>32426.923211085246</v>
      </c>
      <c r="L462" s="3">
        <f>IFERROR(INDEX('CHIRP Payment Calc'!K:K,MATCH(A:A,'CHIRP Payment Calc'!A:A,0)),0)</f>
        <v>0</v>
      </c>
      <c r="M462" s="3">
        <f t="shared" si="17"/>
        <v>32426.923211085246</v>
      </c>
    </row>
    <row r="463" spans="1:13">
      <c r="A463" s="9" t="s">
        <v>956</v>
      </c>
      <c r="B463" s="9" t="s">
        <v>227</v>
      </c>
      <c r="C463" s="9" t="s">
        <v>1550</v>
      </c>
      <c r="D463" s="4" t="s">
        <v>957</v>
      </c>
      <c r="E463" s="14" t="s">
        <v>957</v>
      </c>
      <c r="F463" s="14" t="s">
        <v>958</v>
      </c>
      <c r="G463" s="14" t="s">
        <v>956</v>
      </c>
      <c r="H463" s="9" t="s">
        <v>1795</v>
      </c>
      <c r="I463" s="3">
        <v>1648848.162378923</v>
      </c>
      <c r="J463" s="3">
        <v>600278.7152176724</v>
      </c>
      <c r="K463" s="3">
        <f t="shared" si="16"/>
        <v>2249126.8775965953</v>
      </c>
      <c r="L463" s="3">
        <f>IFERROR(INDEX('CHIRP Payment Calc'!K:K,MATCH(A:A,'CHIRP Payment Calc'!A:A,0)),0)</f>
        <v>4124246.6901611611</v>
      </c>
      <c r="M463" s="3">
        <f t="shared" si="17"/>
        <v>-1875119.8125645658</v>
      </c>
    </row>
    <row r="464" spans="1:13">
      <c r="A464" s="9" t="s">
        <v>732</v>
      </c>
      <c r="B464" s="9" t="s">
        <v>227</v>
      </c>
      <c r="C464" s="9" t="s">
        <v>1550</v>
      </c>
      <c r="D464" s="4" t="s">
        <v>733</v>
      </c>
      <c r="E464" s="14" t="s">
        <v>733</v>
      </c>
      <c r="F464" s="14" t="s">
        <v>734</v>
      </c>
      <c r="G464" s="14" t="s">
        <v>732</v>
      </c>
      <c r="H464" s="9" t="s">
        <v>2317</v>
      </c>
      <c r="I464" s="3">
        <v>206224.93761795713</v>
      </c>
      <c r="J464" s="3">
        <v>6529.884064226103</v>
      </c>
      <c r="K464" s="3">
        <f t="shared" si="16"/>
        <v>212754.82168218322</v>
      </c>
      <c r="L464" s="3">
        <f>IFERROR(INDEX('CHIRP Payment Calc'!K:K,MATCH(A:A,'CHIRP Payment Calc'!A:A,0)),0)</f>
        <v>255593.61152209406</v>
      </c>
      <c r="M464" s="3">
        <f t="shared" si="17"/>
        <v>-42838.789839910838</v>
      </c>
    </row>
    <row r="465" spans="1:13">
      <c r="A465" s="9" t="s">
        <v>1162</v>
      </c>
      <c r="B465" s="9" t="s">
        <v>227</v>
      </c>
      <c r="C465" s="9" t="s">
        <v>1559</v>
      </c>
      <c r="D465" s="4" t="s">
        <v>1163</v>
      </c>
      <c r="E465" s="14" t="s">
        <v>1163</v>
      </c>
      <c r="F465" s="14" t="s">
        <v>1164</v>
      </c>
      <c r="G465" s="14" t="s">
        <v>1162</v>
      </c>
      <c r="H465" s="9" t="s">
        <v>2316</v>
      </c>
      <c r="I465" s="3">
        <v>7220184.7274975628</v>
      </c>
      <c r="J465" s="3">
        <v>3932433.1757844333</v>
      </c>
      <c r="K465" s="3">
        <f t="shared" si="16"/>
        <v>11152617.903281996</v>
      </c>
      <c r="L465" s="3">
        <f>IFERROR(INDEX('CHIRP Payment Calc'!K:K,MATCH(A:A,'CHIRP Payment Calc'!A:A,0)),0)</f>
        <v>14038499.791465441</v>
      </c>
      <c r="M465" s="3">
        <f t="shared" si="17"/>
        <v>-2885881.8881834447</v>
      </c>
    </row>
    <row r="466" spans="1:13">
      <c r="A466" s="9" t="s">
        <v>114</v>
      </c>
      <c r="B466" s="9" t="s">
        <v>1553</v>
      </c>
      <c r="C466" s="9" t="s">
        <v>1644</v>
      </c>
      <c r="D466" s="4" t="s">
        <v>115</v>
      </c>
      <c r="E466" s="14" t="s">
        <v>115</v>
      </c>
      <c r="F466" s="14" t="s">
        <v>116</v>
      </c>
      <c r="G466" s="14" t="s">
        <v>114</v>
      </c>
      <c r="H466" s="9" t="s">
        <v>2009</v>
      </c>
      <c r="I466" s="3">
        <v>118751297.15357794</v>
      </c>
      <c r="J466" s="3">
        <v>410235.25971352769</v>
      </c>
      <c r="K466" s="3">
        <f t="shared" si="16"/>
        <v>119161532.41329147</v>
      </c>
      <c r="L466" s="3">
        <f>IFERROR(INDEX('CHIRP Payment Calc'!K:K,MATCH(A:A,'CHIRP Payment Calc'!A:A,0)),0)</f>
        <v>150969823.4972744</v>
      </c>
      <c r="M466" s="3">
        <f t="shared" si="17"/>
        <v>-31808291.08398293</v>
      </c>
    </row>
    <row r="467" spans="1:13">
      <c r="A467" s="9" t="s">
        <v>611</v>
      </c>
      <c r="B467" s="9" t="s">
        <v>1553</v>
      </c>
      <c r="C467" s="9" t="s">
        <v>1558</v>
      </c>
      <c r="D467" s="4" t="s">
        <v>612</v>
      </c>
      <c r="E467" s="14" t="s">
        <v>612</v>
      </c>
      <c r="F467" s="14" t="s">
        <v>613</v>
      </c>
      <c r="G467" s="14" t="s">
        <v>611</v>
      </c>
      <c r="H467" s="9" t="s">
        <v>2315</v>
      </c>
      <c r="I467" s="3">
        <v>2164705.1339259082</v>
      </c>
      <c r="J467" s="3">
        <v>2013937.1829845768</v>
      </c>
      <c r="K467" s="3">
        <f t="shared" si="16"/>
        <v>4178642.3169104848</v>
      </c>
      <c r="L467" s="3">
        <f>IFERROR(INDEX('CHIRP Payment Calc'!K:K,MATCH(A:A,'CHIRP Payment Calc'!A:A,0)),0)</f>
        <v>4174635.7777368869</v>
      </c>
      <c r="M467" s="3">
        <f t="shared" si="17"/>
        <v>4006.5391735979356</v>
      </c>
    </row>
    <row r="468" spans="1:13">
      <c r="A468" s="9" t="s">
        <v>1518</v>
      </c>
      <c r="B468" s="15" t="s">
        <v>300</v>
      </c>
      <c r="C468" s="15" t="s">
        <v>2236</v>
      </c>
      <c r="D468" s="4" t="s">
        <v>1519</v>
      </c>
      <c r="E468" s="14" t="e">
        <v>#N/A</v>
      </c>
      <c r="F468" s="14" t="e">
        <v>#N/A</v>
      </c>
      <c r="G468" s="14" t="e">
        <v>#N/A</v>
      </c>
      <c r="H468" s="9" t="s">
        <v>2581</v>
      </c>
      <c r="I468" s="3">
        <v>721205.58119373117</v>
      </c>
      <c r="J468" s="3">
        <v>0</v>
      </c>
      <c r="K468" s="3">
        <f t="shared" si="16"/>
        <v>721205.58119373117</v>
      </c>
      <c r="L468" s="3">
        <f>IFERROR(INDEX('CHIRP Payment Calc'!K:K,MATCH(A:A,'CHIRP Payment Calc'!A:A,0)),0)</f>
        <v>939647.19808996655</v>
      </c>
      <c r="M468" s="3">
        <f t="shared" si="17"/>
        <v>-218441.61689623538</v>
      </c>
    </row>
    <row r="469" spans="1:13">
      <c r="A469" s="9" t="s">
        <v>551</v>
      </c>
      <c r="B469" s="9" t="s">
        <v>1553</v>
      </c>
      <c r="C469" s="9" t="s">
        <v>222</v>
      </c>
      <c r="D469" s="4" t="s">
        <v>552</v>
      </c>
      <c r="E469" s="14" t="s">
        <v>552</v>
      </c>
      <c r="F469" s="14" t="s">
        <v>553</v>
      </c>
      <c r="G469" s="14" t="s">
        <v>551</v>
      </c>
      <c r="H469" s="9" t="s">
        <v>2313</v>
      </c>
      <c r="I469" s="3">
        <v>356424.638041133</v>
      </c>
      <c r="J469" s="3">
        <v>106227.20578422872</v>
      </c>
      <c r="K469" s="3">
        <f t="shared" si="16"/>
        <v>462651.84382536169</v>
      </c>
      <c r="L469" s="3">
        <f>IFERROR(INDEX('CHIRP Payment Calc'!K:K,MATCH(A:A,'CHIRP Payment Calc'!A:A,0)),0)</f>
        <v>0</v>
      </c>
      <c r="M469" s="3">
        <f t="shared" si="17"/>
        <v>462651.84382536169</v>
      </c>
    </row>
    <row r="470" spans="1:13">
      <c r="A470" s="9" t="s">
        <v>1544</v>
      </c>
      <c r="B470" s="9" t="s">
        <v>1553</v>
      </c>
      <c r="C470" s="9" t="s">
        <v>222</v>
      </c>
      <c r="D470" s="4" t="s">
        <v>1545</v>
      </c>
      <c r="E470" s="14" t="s">
        <v>1545</v>
      </c>
      <c r="F470" s="14" t="s">
        <v>1546</v>
      </c>
      <c r="G470" s="14" t="s">
        <v>1544</v>
      </c>
      <c r="H470" s="9" t="s">
        <v>2312</v>
      </c>
      <c r="I470" s="3">
        <v>0</v>
      </c>
      <c r="J470" s="3">
        <v>0</v>
      </c>
      <c r="K470" s="3">
        <f t="shared" si="16"/>
        <v>0</v>
      </c>
      <c r="L470" s="3">
        <f>IFERROR(INDEX('CHIRP Payment Calc'!K:K,MATCH(A:A,'CHIRP Payment Calc'!A:A,0)),0)</f>
        <v>0</v>
      </c>
      <c r="M470" s="3">
        <f t="shared" si="17"/>
        <v>0</v>
      </c>
    </row>
    <row r="471" spans="1:13">
      <c r="A471" s="9" t="s">
        <v>2310</v>
      </c>
      <c r="B471" s="9" t="s">
        <v>1553</v>
      </c>
      <c r="C471" s="9" t="s">
        <v>222</v>
      </c>
      <c r="D471" s="4" t="s">
        <v>2311</v>
      </c>
      <c r="E471" s="14" t="s">
        <v>2311</v>
      </c>
      <c r="F471" s="14" t="e">
        <v>#N/A</v>
      </c>
      <c r="G471" s="14" t="s">
        <v>2310</v>
      </c>
      <c r="H471" s="9" t="s">
        <v>2309</v>
      </c>
      <c r="I471" s="3">
        <v>0</v>
      </c>
      <c r="J471" s="3">
        <v>0</v>
      </c>
      <c r="K471" s="3">
        <f t="shared" si="16"/>
        <v>0</v>
      </c>
      <c r="L471" s="3">
        <f>IFERROR(INDEX('CHIRP Payment Calc'!K:K,MATCH(A:A,'CHIRP Payment Calc'!A:A,0)),0)</f>
        <v>0</v>
      </c>
      <c r="M471" s="3">
        <f t="shared" si="17"/>
        <v>0</v>
      </c>
    </row>
    <row r="472" spans="1:13">
      <c r="A472" s="9" t="s">
        <v>335</v>
      </c>
      <c r="B472" s="9" t="s">
        <v>1553</v>
      </c>
      <c r="C472" s="9" t="s">
        <v>222</v>
      </c>
      <c r="D472" s="4" t="s">
        <v>336</v>
      </c>
      <c r="E472" s="14" t="s">
        <v>336</v>
      </c>
      <c r="F472" s="14" t="s">
        <v>337</v>
      </c>
      <c r="G472" s="14" t="s">
        <v>335</v>
      </c>
      <c r="H472" s="9" t="s">
        <v>2308</v>
      </c>
      <c r="I472" s="3">
        <v>0</v>
      </c>
      <c r="J472" s="3">
        <v>0</v>
      </c>
      <c r="K472" s="3">
        <f t="shared" si="16"/>
        <v>0</v>
      </c>
      <c r="L472" s="3">
        <f>IFERROR(INDEX('CHIRP Payment Calc'!K:K,MATCH(A:A,'CHIRP Payment Calc'!A:A,0)),0)</f>
        <v>0</v>
      </c>
      <c r="M472" s="3">
        <f t="shared" si="17"/>
        <v>0</v>
      </c>
    </row>
    <row r="473" spans="1:13">
      <c r="A473" s="9" t="s">
        <v>506</v>
      </c>
      <c r="B473" s="9" t="s">
        <v>1553</v>
      </c>
      <c r="C473" s="9" t="s">
        <v>222</v>
      </c>
      <c r="D473" s="4" t="s">
        <v>507</v>
      </c>
      <c r="E473" s="14" t="s">
        <v>507</v>
      </c>
      <c r="F473" s="14" t="s">
        <v>508</v>
      </c>
      <c r="G473" s="14" t="s">
        <v>506</v>
      </c>
      <c r="H473" s="9" t="s">
        <v>2307</v>
      </c>
      <c r="I473" s="3">
        <v>20793892.006635178</v>
      </c>
      <c r="J473" s="3">
        <v>7395824.4762746952</v>
      </c>
      <c r="K473" s="3">
        <f t="shared" si="16"/>
        <v>28189716.482909873</v>
      </c>
      <c r="L473" s="3">
        <f>IFERROR(INDEX('CHIRP Payment Calc'!K:K,MATCH(A:A,'CHIRP Payment Calc'!A:A,0)),0)</f>
        <v>28011089.840900403</v>
      </c>
      <c r="M473" s="3">
        <f t="shared" si="17"/>
        <v>178626.64200947061</v>
      </c>
    </row>
    <row r="474" spans="1:13">
      <c r="A474" s="9" t="s">
        <v>329</v>
      </c>
      <c r="B474" s="9" t="s">
        <v>1553</v>
      </c>
      <c r="C474" s="9" t="s">
        <v>222</v>
      </c>
      <c r="D474" s="4" t="s">
        <v>330</v>
      </c>
      <c r="E474" s="14" t="s">
        <v>330</v>
      </c>
      <c r="F474" s="14" t="s">
        <v>331</v>
      </c>
      <c r="G474" s="14" t="s">
        <v>329</v>
      </c>
      <c r="H474" s="9" t="s">
        <v>2306</v>
      </c>
      <c r="I474" s="3">
        <v>0</v>
      </c>
      <c r="J474" s="3">
        <v>0</v>
      </c>
      <c r="K474" s="3">
        <f t="shared" si="16"/>
        <v>0</v>
      </c>
      <c r="L474" s="3">
        <f>IFERROR(INDEX('CHIRP Payment Calc'!K:K,MATCH(A:A,'CHIRP Payment Calc'!A:A,0)),0)</f>
        <v>0</v>
      </c>
      <c r="M474" s="3">
        <f t="shared" si="17"/>
        <v>0</v>
      </c>
    </row>
    <row r="475" spans="1:13">
      <c r="A475" s="9" t="s">
        <v>1396</v>
      </c>
      <c r="B475" s="9" t="s">
        <v>1553</v>
      </c>
      <c r="C475" s="9" t="s">
        <v>222</v>
      </c>
      <c r="D475" s="4" t="s">
        <v>1397</v>
      </c>
      <c r="E475" s="14" t="s">
        <v>1397</v>
      </c>
      <c r="F475" s="14" t="s">
        <v>1398</v>
      </c>
      <c r="G475" s="14" t="s">
        <v>1396</v>
      </c>
      <c r="H475" s="9" t="s">
        <v>2034</v>
      </c>
      <c r="I475" s="3">
        <v>38386.339467054095</v>
      </c>
      <c r="J475" s="3">
        <v>316484.61498195346</v>
      </c>
      <c r="K475" s="3">
        <f t="shared" si="16"/>
        <v>354870.95444900758</v>
      </c>
      <c r="L475" s="3">
        <f>IFERROR(INDEX('CHIRP Payment Calc'!K:K,MATCH(A:A,'CHIRP Payment Calc'!A:A,0)),0)</f>
        <v>0</v>
      </c>
      <c r="M475" s="3">
        <f t="shared" si="17"/>
        <v>354870.95444900758</v>
      </c>
    </row>
    <row r="476" spans="1:13">
      <c r="A476" s="9" t="s">
        <v>1557</v>
      </c>
      <c r="B476" s="9" t="s">
        <v>1553</v>
      </c>
      <c r="C476" s="9" t="s">
        <v>222</v>
      </c>
      <c r="D476" s="4" t="s">
        <v>2013</v>
      </c>
      <c r="E476" s="14" t="s">
        <v>2013</v>
      </c>
      <c r="F476" s="14" t="s">
        <v>477</v>
      </c>
      <c r="G476" s="14" t="s">
        <v>1557</v>
      </c>
      <c r="H476" s="9" t="s">
        <v>2305</v>
      </c>
      <c r="I476" s="3">
        <v>5680828.2448568055</v>
      </c>
      <c r="J476" s="3">
        <v>2864163.9548656275</v>
      </c>
      <c r="K476" s="3">
        <f t="shared" si="16"/>
        <v>8544992.1997224335</v>
      </c>
      <c r="L476" s="3">
        <f>IFERROR(INDEX('CHIRP Payment Calc'!K:K,MATCH(A:A,'CHIRP Payment Calc'!A:A,0)),0)</f>
        <v>8170287.9311922379</v>
      </c>
      <c r="M476" s="3">
        <f t="shared" si="17"/>
        <v>374704.26853019558</v>
      </c>
    </row>
    <row r="477" spans="1:13">
      <c r="A477" s="9" t="s">
        <v>311</v>
      </c>
      <c r="B477" s="9" t="s">
        <v>1553</v>
      </c>
      <c r="C477" s="9" t="s">
        <v>222</v>
      </c>
      <c r="D477" s="4" t="s">
        <v>2304</v>
      </c>
      <c r="E477" s="14" t="s">
        <v>312</v>
      </c>
      <c r="F477" s="14" t="s">
        <v>313</v>
      </c>
      <c r="G477" s="14" t="s">
        <v>311</v>
      </c>
      <c r="H477" s="9" t="s">
        <v>2303</v>
      </c>
      <c r="I477" s="3">
        <v>0</v>
      </c>
      <c r="J477" s="3">
        <v>0</v>
      </c>
      <c r="K477" s="3">
        <f t="shared" si="16"/>
        <v>0</v>
      </c>
      <c r="L477" s="3">
        <f>IFERROR(INDEX('CHIRP Payment Calc'!K:K,MATCH(A:A,'CHIRP Payment Calc'!A:A,0)),0)</f>
        <v>0</v>
      </c>
      <c r="M477" s="3">
        <f t="shared" si="17"/>
        <v>0</v>
      </c>
    </row>
    <row r="478" spans="1:13">
      <c r="A478" s="9" t="s">
        <v>73</v>
      </c>
      <c r="B478" s="9" t="s">
        <v>1553</v>
      </c>
      <c r="C478" s="9" t="s">
        <v>1481</v>
      </c>
      <c r="D478" s="4" t="s">
        <v>74</v>
      </c>
      <c r="E478" s="14" t="s">
        <v>74</v>
      </c>
      <c r="F478" s="14" t="s">
        <v>75</v>
      </c>
      <c r="G478" s="14" t="s">
        <v>73</v>
      </c>
      <c r="H478" s="9" t="s">
        <v>2302</v>
      </c>
      <c r="I478" s="3">
        <v>2392498.6805992355</v>
      </c>
      <c r="J478" s="3">
        <v>1445618.4617287086</v>
      </c>
      <c r="K478" s="3">
        <f t="shared" si="16"/>
        <v>3838117.1423279438</v>
      </c>
      <c r="L478" s="3">
        <f>IFERROR(INDEX('CHIRP Payment Calc'!K:K,MATCH(A:A,'CHIRP Payment Calc'!A:A,0)),0)</f>
        <v>6634104.4174060598</v>
      </c>
      <c r="M478" s="3">
        <f t="shared" si="17"/>
        <v>-2795987.275078116</v>
      </c>
    </row>
    <row r="479" spans="1:13">
      <c r="A479" s="9" t="s">
        <v>608</v>
      </c>
      <c r="B479" s="9" t="s">
        <v>1553</v>
      </c>
      <c r="C479" s="9" t="s">
        <v>1481</v>
      </c>
      <c r="D479" s="4" t="s">
        <v>609</v>
      </c>
      <c r="E479" s="14" t="s">
        <v>609</v>
      </c>
      <c r="F479" s="14" t="s">
        <v>610</v>
      </c>
      <c r="G479" s="14" t="s">
        <v>608</v>
      </c>
      <c r="H479" s="9" t="s">
        <v>2301</v>
      </c>
      <c r="I479" s="3">
        <v>2371938.8657005066</v>
      </c>
      <c r="J479" s="3">
        <v>1099623.4903880849</v>
      </c>
      <c r="K479" s="3">
        <f t="shared" si="16"/>
        <v>3471562.3560885917</v>
      </c>
      <c r="L479" s="3">
        <f>IFERROR(INDEX('CHIRP Payment Calc'!K:K,MATCH(A:A,'CHIRP Payment Calc'!A:A,0)),0)</f>
        <v>4607443.239198748</v>
      </c>
      <c r="M479" s="3">
        <f t="shared" si="17"/>
        <v>-1135880.8831101563</v>
      </c>
    </row>
    <row r="480" spans="1:13">
      <c r="A480" s="9" t="s">
        <v>602</v>
      </c>
      <c r="B480" s="9" t="s">
        <v>1553</v>
      </c>
      <c r="C480" s="9" t="s">
        <v>1481</v>
      </c>
      <c r="D480" s="4" t="s">
        <v>603</v>
      </c>
      <c r="E480" s="14" t="s">
        <v>603</v>
      </c>
      <c r="F480" s="14" t="s">
        <v>604</v>
      </c>
      <c r="G480" s="14" t="s">
        <v>602</v>
      </c>
      <c r="H480" s="9" t="s">
        <v>2300</v>
      </c>
      <c r="I480" s="3">
        <v>2839992.8721295632</v>
      </c>
      <c r="J480" s="3">
        <v>996758.6393487259</v>
      </c>
      <c r="K480" s="3">
        <f t="shared" si="16"/>
        <v>3836751.511478289</v>
      </c>
      <c r="L480" s="3">
        <f>IFERROR(INDEX('CHIRP Payment Calc'!K:K,MATCH(A:A,'CHIRP Payment Calc'!A:A,0)),0)</f>
        <v>3703489.6846843446</v>
      </c>
      <c r="M480" s="3">
        <f t="shared" si="17"/>
        <v>133261.82679394446</v>
      </c>
    </row>
    <row r="481" spans="1:13">
      <c r="A481" s="9" t="s">
        <v>850</v>
      </c>
      <c r="B481" s="9" t="s">
        <v>1553</v>
      </c>
      <c r="C481" s="9" t="s">
        <v>1550</v>
      </c>
      <c r="D481" s="4" t="s">
        <v>851</v>
      </c>
      <c r="E481" s="14" t="s">
        <v>851</v>
      </c>
      <c r="F481" s="14" t="s">
        <v>852</v>
      </c>
      <c r="G481" s="14" t="s">
        <v>850</v>
      </c>
      <c r="H481" s="9" t="s">
        <v>1857</v>
      </c>
      <c r="I481" s="3">
        <v>1012428.8615903972</v>
      </c>
      <c r="J481" s="3">
        <v>451692.28012832522</v>
      </c>
      <c r="K481" s="3">
        <f t="shared" si="16"/>
        <v>1464121.1417187224</v>
      </c>
      <c r="L481" s="3">
        <f>IFERROR(INDEX('CHIRP Payment Calc'!K:K,MATCH(A:A,'CHIRP Payment Calc'!A:A,0)),0)</f>
        <v>2232566.844187594</v>
      </c>
      <c r="M481" s="3">
        <f t="shared" si="17"/>
        <v>-768445.7024688716</v>
      </c>
    </row>
    <row r="482" spans="1:13">
      <c r="A482" s="9" t="s">
        <v>195</v>
      </c>
      <c r="B482" s="9" t="s">
        <v>1553</v>
      </c>
      <c r="C482" s="9" t="s">
        <v>1550</v>
      </c>
      <c r="D482" s="4" t="s">
        <v>196</v>
      </c>
      <c r="E482" s="14" t="s">
        <v>196</v>
      </c>
      <c r="F482" s="14" t="s">
        <v>197</v>
      </c>
      <c r="G482" s="14" t="s">
        <v>195</v>
      </c>
      <c r="H482" s="9" t="s">
        <v>2299</v>
      </c>
      <c r="I482" s="3">
        <v>615612.78117883077</v>
      </c>
      <c r="J482" s="3">
        <v>152351.83648488292</v>
      </c>
      <c r="K482" s="3">
        <f t="shared" si="16"/>
        <v>767964.61766371364</v>
      </c>
      <c r="L482" s="3">
        <f>IFERROR(INDEX('CHIRP Payment Calc'!K:K,MATCH(A:A,'CHIRP Payment Calc'!A:A,0)),0)</f>
        <v>927899.18474012858</v>
      </c>
      <c r="M482" s="3">
        <f t="shared" si="17"/>
        <v>-159934.56707641494</v>
      </c>
    </row>
    <row r="483" spans="1:13">
      <c r="A483" s="9" t="s">
        <v>989</v>
      </c>
      <c r="B483" s="9" t="s">
        <v>1553</v>
      </c>
      <c r="C483" s="9" t="s">
        <v>1550</v>
      </c>
      <c r="D483" s="4" t="s">
        <v>990</v>
      </c>
      <c r="E483" s="14" t="s">
        <v>990</v>
      </c>
      <c r="F483" s="14" t="s">
        <v>991</v>
      </c>
      <c r="G483" s="14" t="s">
        <v>989</v>
      </c>
      <c r="H483" s="9" t="s">
        <v>1761</v>
      </c>
      <c r="I483" s="3">
        <v>293379.42057664623</v>
      </c>
      <c r="J483" s="3">
        <v>209413.53247130214</v>
      </c>
      <c r="K483" s="3">
        <f t="shared" si="16"/>
        <v>502792.95304794837</v>
      </c>
      <c r="L483" s="3">
        <f>IFERROR(INDEX('CHIRP Payment Calc'!K:K,MATCH(A:A,'CHIRP Payment Calc'!A:A,0)),0)</f>
        <v>877336.91350058722</v>
      </c>
      <c r="M483" s="3">
        <f t="shared" si="17"/>
        <v>-374543.96045263886</v>
      </c>
    </row>
    <row r="484" spans="1:13">
      <c r="A484" s="9" t="s">
        <v>1560</v>
      </c>
      <c r="B484" s="9" t="s">
        <v>1553</v>
      </c>
      <c r="C484" s="9" t="s">
        <v>1559</v>
      </c>
      <c r="D484" s="4" t="s">
        <v>2070</v>
      </c>
      <c r="E484" s="14" t="s">
        <v>2070</v>
      </c>
      <c r="F484" s="14" t="s">
        <v>728</v>
      </c>
      <c r="G484" s="14" t="s">
        <v>1560</v>
      </c>
      <c r="H484" s="9" t="s">
        <v>2298</v>
      </c>
      <c r="I484" s="3">
        <v>12122078.059088843</v>
      </c>
      <c r="J484" s="3">
        <v>16272792.80816772</v>
      </c>
      <c r="K484" s="3">
        <f t="shared" si="16"/>
        <v>28394870.867256563</v>
      </c>
      <c r="L484" s="3">
        <f>IFERROR(INDEX('CHIRP Payment Calc'!K:K,MATCH(A:A,'CHIRP Payment Calc'!A:A,0)),0)</f>
        <v>23130784.507252008</v>
      </c>
      <c r="M484" s="3">
        <f t="shared" si="17"/>
        <v>5264086.3600045554</v>
      </c>
    </row>
    <row r="485" spans="1:13">
      <c r="A485" s="9" t="s">
        <v>85</v>
      </c>
      <c r="B485" s="9" t="s">
        <v>1366</v>
      </c>
      <c r="C485" s="9" t="s">
        <v>1644</v>
      </c>
      <c r="D485" s="4" t="s">
        <v>86</v>
      </c>
      <c r="E485" s="14" t="s">
        <v>86</v>
      </c>
      <c r="F485" s="14" t="s">
        <v>87</v>
      </c>
      <c r="G485" s="14" t="s">
        <v>85</v>
      </c>
      <c r="H485" s="9" t="s">
        <v>2297</v>
      </c>
      <c r="I485" s="3">
        <v>177866596.47597089</v>
      </c>
      <c r="J485" s="3">
        <v>757366.82728482108</v>
      </c>
      <c r="K485" s="3">
        <f t="shared" si="16"/>
        <v>178623963.30325571</v>
      </c>
      <c r="L485" s="3">
        <f>IFERROR(INDEX('CHIRP Payment Calc'!K:K,MATCH(A:A,'CHIRP Payment Calc'!A:A,0)),0)</f>
        <v>209501974.696022</v>
      </c>
      <c r="M485" s="3">
        <f t="shared" si="17"/>
        <v>-30878011.392766297</v>
      </c>
    </row>
    <row r="486" spans="1:13">
      <c r="A486" s="9" t="s">
        <v>1275</v>
      </c>
      <c r="B486" s="9" t="s">
        <v>1366</v>
      </c>
      <c r="C486" s="9" t="s">
        <v>2236</v>
      </c>
      <c r="D486" s="4" t="s">
        <v>1276</v>
      </c>
      <c r="E486" s="14" t="s">
        <v>1276</v>
      </c>
      <c r="F486" s="14" t="s">
        <v>1277</v>
      </c>
      <c r="G486" s="14" t="s">
        <v>1275</v>
      </c>
      <c r="H486" s="9" t="s">
        <v>2296</v>
      </c>
      <c r="I486" s="3">
        <v>4623700.1272091931</v>
      </c>
      <c r="J486" s="3">
        <v>0</v>
      </c>
      <c r="K486" s="3">
        <f t="shared" si="16"/>
        <v>4623700.1272091931</v>
      </c>
      <c r="L486" s="3">
        <f>IFERROR(INDEX('CHIRP Payment Calc'!K:K,MATCH(A:A,'CHIRP Payment Calc'!A:A,0)),0)</f>
        <v>2429056.5145560945</v>
      </c>
      <c r="M486" s="3">
        <f t="shared" si="17"/>
        <v>2194643.6126530985</v>
      </c>
    </row>
    <row r="487" spans="1:13">
      <c r="A487" s="9" t="s">
        <v>1221</v>
      </c>
      <c r="B487" s="9" t="s">
        <v>1366</v>
      </c>
      <c r="C487" s="9" t="s">
        <v>2236</v>
      </c>
      <c r="D487" s="4" t="s">
        <v>1222</v>
      </c>
      <c r="E487" s="14" t="s">
        <v>1222</v>
      </c>
      <c r="F487" s="14" t="s">
        <v>1223</v>
      </c>
      <c r="G487" s="14" t="s">
        <v>1221</v>
      </c>
      <c r="H487" s="9" t="s">
        <v>2295</v>
      </c>
      <c r="I487" s="3">
        <v>1137.1813054636809</v>
      </c>
      <c r="J487" s="3">
        <v>0</v>
      </c>
      <c r="K487" s="3">
        <f t="shared" si="16"/>
        <v>1137.1813054636809</v>
      </c>
      <c r="L487" s="3">
        <f>IFERROR(INDEX('CHIRP Payment Calc'!K:K,MATCH(A:A,'CHIRP Payment Calc'!A:A,0)),0)</f>
        <v>0</v>
      </c>
      <c r="M487" s="3">
        <f t="shared" si="17"/>
        <v>1137.1813054636809</v>
      </c>
    </row>
    <row r="488" spans="1:13">
      <c r="A488" s="9" t="s">
        <v>1363</v>
      </c>
      <c r="B488" s="9" t="s">
        <v>1366</v>
      </c>
      <c r="C488" s="9" t="s">
        <v>2236</v>
      </c>
      <c r="D488" s="4" t="s">
        <v>2294</v>
      </c>
      <c r="E488" s="14" t="s">
        <v>1364</v>
      </c>
      <c r="F488" s="14" t="s">
        <v>1365</v>
      </c>
      <c r="G488" s="14" t="s">
        <v>1363</v>
      </c>
      <c r="H488" s="9" t="s">
        <v>2293</v>
      </c>
      <c r="I488" s="3">
        <v>8229.4419559465241</v>
      </c>
      <c r="J488" s="3">
        <v>0</v>
      </c>
      <c r="K488" s="3">
        <f t="shared" si="16"/>
        <v>8229.4419559465241</v>
      </c>
      <c r="L488" s="3">
        <f>IFERROR(INDEX('CHIRP Payment Calc'!K:K,MATCH(A:A,'CHIRP Payment Calc'!A:A,0)),0)</f>
        <v>72653.618901616166</v>
      </c>
      <c r="M488" s="3">
        <f t="shared" si="17"/>
        <v>-64424.176945669642</v>
      </c>
    </row>
    <row r="489" spans="1:13">
      <c r="A489" s="9" t="s">
        <v>1272</v>
      </c>
      <c r="B489" s="9" t="s">
        <v>1366</v>
      </c>
      <c r="C489" s="9" t="s">
        <v>2236</v>
      </c>
      <c r="D489" s="4" t="s">
        <v>1273</v>
      </c>
      <c r="E489" s="14" t="s">
        <v>1273</v>
      </c>
      <c r="F489" s="14" t="s">
        <v>1274</v>
      </c>
      <c r="G489" s="14" t="s">
        <v>1272</v>
      </c>
      <c r="H489" s="9" t="s">
        <v>2292</v>
      </c>
      <c r="I489" s="3">
        <v>3150256.73784169</v>
      </c>
      <c r="J489" s="3">
        <v>0</v>
      </c>
      <c r="K489" s="3">
        <f t="shared" si="16"/>
        <v>3150256.73784169</v>
      </c>
      <c r="L489" s="3">
        <f>IFERROR(INDEX('CHIRP Payment Calc'!K:K,MATCH(A:A,'CHIRP Payment Calc'!A:A,0)),0)</f>
        <v>1738893.4697351537</v>
      </c>
      <c r="M489" s="3">
        <f t="shared" si="17"/>
        <v>1411363.2681065362</v>
      </c>
    </row>
    <row r="490" spans="1:13">
      <c r="A490" s="9" t="s">
        <v>1325</v>
      </c>
      <c r="B490" s="9" t="s">
        <v>1366</v>
      </c>
      <c r="C490" s="9" t="s">
        <v>2236</v>
      </c>
      <c r="D490" s="4" t="s">
        <v>1326</v>
      </c>
      <c r="E490" s="14" t="s">
        <v>1326</v>
      </c>
      <c r="F490" s="14" t="s">
        <v>1327</v>
      </c>
      <c r="G490" s="14" t="s">
        <v>1325</v>
      </c>
      <c r="H490" s="9" t="s">
        <v>2291</v>
      </c>
      <c r="I490" s="3">
        <v>0</v>
      </c>
      <c r="J490" s="3">
        <v>0</v>
      </c>
      <c r="K490" s="3">
        <f t="shared" si="16"/>
        <v>0</v>
      </c>
      <c r="L490" s="3">
        <f>IFERROR(INDEX('CHIRP Payment Calc'!K:K,MATCH(A:A,'CHIRP Payment Calc'!A:A,0)),0)</f>
        <v>0</v>
      </c>
      <c r="M490" s="3">
        <f t="shared" si="17"/>
        <v>0</v>
      </c>
    </row>
    <row r="491" spans="1:13">
      <c r="A491" s="9" t="s">
        <v>1253</v>
      </c>
      <c r="B491" s="9" t="s">
        <v>1366</v>
      </c>
      <c r="C491" s="9" t="s">
        <v>2236</v>
      </c>
      <c r="D491" s="4" t="s">
        <v>1254</v>
      </c>
      <c r="E491" s="14" t="s">
        <v>1254</v>
      </c>
      <c r="F491" s="14" t="s">
        <v>1255</v>
      </c>
      <c r="G491" s="14" t="s">
        <v>1253</v>
      </c>
      <c r="H491" s="9" t="s">
        <v>2290</v>
      </c>
      <c r="I491" s="3">
        <v>0</v>
      </c>
      <c r="J491" s="3">
        <v>0</v>
      </c>
      <c r="K491" s="3">
        <f t="shared" si="16"/>
        <v>0</v>
      </c>
      <c r="L491" s="3">
        <f>IFERROR(INDEX('CHIRP Payment Calc'!K:K,MATCH(A:A,'CHIRP Payment Calc'!A:A,0)),0)</f>
        <v>0</v>
      </c>
      <c r="M491" s="3">
        <f t="shared" si="17"/>
        <v>0</v>
      </c>
    </row>
    <row r="492" spans="1:13">
      <c r="A492" s="9" t="s">
        <v>1346</v>
      </c>
      <c r="B492" s="9" t="s">
        <v>1366</v>
      </c>
      <c r="C492" s="9" t="s">
        <v>2236</v>
      </c>
      <c r="D492" s="4" t="s">
        <v>1347</v>
      </c>
      <c r="E492" s="14" t="s">
        <v>1347</v>
      </c>
      <c r="F492" s="14" t="s">
        <v>1348</v>
      </c>
      <c r="G492" s="14" t="s">
        <v>1346</v>
      </c>
      <c r="H492" s="9" t="s">
        <v>2289</v>
      </c>
      <c r="I492" s="3">
        <v>1234056.9363257573</v>
      </c>
      <c r="J492" s="3">
        <v>0</v>
      </c>
      <c r="K492" s="3">
        <f t="shared" si="16"/>
        <v>1234056.9363257573</v>
      </c>
      <c r="L492" s="3">
        <f>IFERROR(INDEX('CHIRP Payment Calc'!K:K,MATCH(A:A,'CHIRP Payment Calc'!A:A,0)),0)</f>
        <v>1192948.4348202052</v>
      </c>
      <c r="M492" s="3">
        <f t="shared" si="17"/>
        <v>41108.501505552093</v>
      </c>
    </row>
    <row r="493" spans="1:13">
      <c r="A493" s="9" t="s">
        <v>1116</v>
      </c>
      <c r="B493" s="9" t="s">
        <v>1366</v>
      </c>
      <c r="C493" s="9" t="s">
        <v>222</v>
      </c>
      <c r="D493" s="4" t="s">
        <v>1117</v>
      </c>
      <c r="E493" s="14" t="s">
        <v>1117</v>
      </c>
      <c r="F493" s="14" t="s">
        <v>1118</v>
      </c>
      <c r="G493" s="14" t="s">
        <v>1116</v>
      </c>
      <c r="H493" s="9" t="s">
        <v>2288</v>
      </c>
      <c r="I493" s="3">
        <v>4421024.6626616241</v>
      </c>
      <c r="J493" s="3">
        <v>2352852.6193137509</v>
      </c>
      <c r="K493" s="3">
        <f t="shared" si="16"/>
        <v>6773877.2819753755</v>
      </c>
      <c r="L493" s="3">
        <f>IFERROR(INDEX('CHIRP Payment Calc'!K:K,MATCH(A:A,'CHIRP Payment Calc'!A:A,0)),0)</f>
        <v>5779559.8507042024</v>
      </c>
      <c r="M493" s="3">
        <f t="shared" si="17"/>
        <v>994317.43127117306</v>
      </c>
    </row>
    <row r="494" spans="1:13">
      <c r="A494" s="9" t="s">
        <v>1110</v>
      </c>
      <c r="B494" s="9" t="s">
        <v>1366</v>
      </c>
      <c r="C494" s="9" t="s">
        <v>222</v>
      </c>
      <c r="D494" s="4" t="s">
        <v>1111</v>
      </c>
      <c r="E494" s="14" t="s">
        <v>1111</v>
      </c>
      <c r="F494" s="14" t="s">
        <v>1112</v>
      </c>
      <c r="G494" s="14" t="s">
        <v>1110</v>
      </c>
      <c r="H494" s="9" t="s">
        <v>2287</v>
      </c>
      <c r="I494" s="3">
        <v>4143735.9017699673</v>
      </c>
      <c r="J494" s="3">
        <v>5381701.227344186</v>
      </c>
      <c r="K494" s="3">
        <f t="shared" si="16"/>
        <v>9525437.1291141529</v>
      </c>
      <c r="L494" s="3">
        <f>IFERROR(INDEX('CHIRP Payment Calc'!K:K,MATCH(A:A,'CHIRP Payment Calc'!A:A,0)),0)</f>
        <v>8102587.9241939243</v>
      </c>
      <c r="M494" s="3">
        <f t="shared" si="17"/>
        <v>1422849.2049202286</v>
      </c>
    </row>
    <row r="495" spans="1:13">
      <c r="A495" s="9" t="s">
        <v>935</v>
      </c>
      <c r="B495" s="9" t="s">
        <v>1366</v>
      </c>
      <c r="C495" s="9" t="s">
        <v>222</v>
      </c>
      <c r="D495" s="4" t="s">
        <v>936</v>
      </c>
      <c r="E495" s="14" t="s">
        <v>936</v>
      </c>
      <c r="F495" s="14" t="s">
        <v>937</v>
      </c>
      <c r="G495" s="14" t="s">
        <v>935</v>
      </c>
      <c r="H495" s="9" t="s">
        <v>2286</v>
      </c>
      <c r="I495" s="3">
        <v>0</v>
      </c>
      <c r="J495" s="3">
        <v>0</v>
      </c>
      <c r="K495" s="3">
        <f t="shared" si="16"/>
        <v>0</v>
      </c>
      <c r="L495" s="3">
        <f>IFERROR(INDEX('CHIRP Payment Calc'!K:K,MATCH(A:A,'CHIRP Payment Calc'!A:A,0)),0)</f>
        <v>0</v>
      </c>
      <c r="M495" s="3">
        <f t="shared" si="17"/>
        <v>0</v>
      </c>
    </row>
    <row r="496" spans="1:13">
      <c r="A496" s="9" t="s">
        <v>1566</v>
      </c>
      <c r="B496" s="9" t="s">
        <v>1366</v>
      </c>
      <c r="C496" s="9" t="s">
        <v>222</v>
      </c>
      <c r="D496" s="4" t="s">
        <v>1659</v>
      </c>
      <c r="E496" s="14" t="s">
        <v>1659</v>
      </c>
      <c r="F496" s="14" t="s">
        <v>1224</v>
      </c>
      <c r="G496" s="14" t="s">
        <v>1566</v>
      </c>
      <c r="H496" s="9" t="s">
        <v>1657</v>
      </c>
      <c r="I496" s="3">
        <v>4677962.3985591857</v>
      </c>
      <c r="J496" s="3">
        <v>1717894.3167358157</v>
      </c>
      <c r="K496" s="3">
        <f t="shared" si="16"/>
        <v>6395856.7152950019</v>
      </c>
      <c r="L496" s="3">
        <f>IFERROR(INDEX('CHIRP Payment Calc'!K:K,MATCH(A:A,'CHIRP Payment Calc'!A:A,0)),0)</f>
        <v>6545257.3108159266</v>
      </c>
      <c r="M496" s="3">
        <f t="shared" si="17"/>
        <v>-149400.59552092478</v>
      </c>
    </row>
    <row r="497" spans="1:13">
      <c r="A497" s="9" t="s">
        <v>623</v>
      </c>
      <c r="B497" s="9" t="s">
        <v>1366</v>
      </c>
      <c r="C497" s="9" t="s">
        <v>222</v>
      </c>
      <c r="D497" s="4" t="s">
        <v>624</v>
      </c>
      <c r="E497" s="14" t="s">
        <v>624</v>
      </c>
      <c r="F497" s="14" t="s">
        <v>625</v>
      </c>
      <c r="G497" s="14" t="s">
        <v>623</v>
      </c>
      <c r="H497" s="9" t="s">
        <v>2285</v>
      </c>
      <c r="I497" s="3">
        <v>14226022.000838358</v>
      </c>
      <c r="J497" s="3">
        <v>2074874.7826543918</v>
      </c>
      <c r="K497" s="3">
        <f t="shared" si="16"/>
        <v>16300896.78349275</v>
      </c>
      <c r="L497" s="3">
        <f>IFERROR(INDEX('CHIRP Payment Calc'!K:K,MATCH(A:A,'CHIRP Payment Calc'!A:A,0)),0)</f>
        <v>19600109.097687159</v>
      </c>
      <c r="M497" s="3">
        <f t="shared" si="17"/>
        <v>-3299212.3141944092</v>
      </c>
    </row>
    <row r="498" spans="1:13">
      <c r="A498" s="9" t="s">
        <v>1089</v>
      </c>
      <c r="B498" s="9" t="s">
        <v>1366</v>
      </c>
      <c r="C498" s="9" t="s">
        <v>222</v>
      </c>
      <c r="D498" s="4" t="s">
        <v>1090</v>
      </c>
      <c r="E498" s="14" t="s">
        <v>1090</v>
      </c>
      <c r="F498" s="14" t="s">
        <v>1091</v>
      </c>
      <c r="G498" s="14" t="s">
        <v>1089</v>
      </c>
      <c r="H498" s="9" t="s">
        <v>2284</v>
      </c>
      <c r="I498" s="3">
        <v>5041691.9543372486</v>
      </c>
      <c r="J498" s="3">
        <v>3094648.4913324378</v>
      </c>
      <c r="K498" s="3">
        <f t="shared" si="16"/>
        <v>8136340.4456696864</v>
      </c>
      <c r="L498" s="3">
        <f>IFERROR(INDEX('CHIRP Payment Calc'!K:K,MATCH(A:A,'CHIRP Payment Calc'!A:A,0)),0)</f>
        <v>9288697.3298663422</v>
      </c>
      <c r="M498" s="3">
        <f t="shared" si="17"/>
        <v>-1152356.8841966558</v>
      </c>
    </row>
    <row r="499" spans="1:13">
      <c r="A499" s="9" t="s">
        <v>301</v>
      </c>
      <c r="B499" s="9" t="s">
        <v>1366</v>
      </c>
      <c r="C499" s="9" t="s">
        <v>222</v>
      </c>
      <c r="D499" s="4" t="s">
        <v>2283</v>
      </c>
      <c r="E499" s="14" t="s">
        <v>302</v>
      </c>
      <c r="F499" s="14" t="s">
        <v>303</v>
      </c>
      <c r="G499" s="14" t="s">
        <v>301</v>
      </c>
      <c r="H499" s="9" t="s">
        <v>2282</v>
      </c>
      <c r="I499" s="3">
        <v>0</v>
      </c>
      <c r="J499" s="3">
        <v>0</v>
      </c>
      <c r="K499" s="3">
        <f t="shared" si="16"/>
        <v>0</v>
      </c>
      <c r="L499" s="3">
        <f>IFERROR(INDEX('CHIRP Payment Calc'!K:K,MATCH(A:A,'CHIRP Payment Calc'!A:A,0)),0)</f>
        <v>0</v>
      </c>
      <c r="M499" s="3">
        <f t="shared" si="17"/>
        <v>0</v>
      </c>
    </row>
    <row r="500" spans="1:13">
      <c r="A500" s="9" t="s">
        <v>443</v>
      </c>
      <c r="B500" s="9" t="s">
        <v>1366</v>
      </c>
      <c r="C500" s="9" t="s">
        <v>222</v>
      </c>
      <c r="D500" s="4" t="s">
        <v>444</v>
      </c>
      <c r="E500" s="14" t="s">
        <v>444</v>
      </c>
      <c r="F500" s="14" t="s">
        <v>445</v>
      </c>
      <c r="G500" s="14" t="s">
        <v>443</v>
      </c>
      <c r="H500" s="9" t="s">
        <v>2281</v>
      </c>
      <c r="I500" s="3">
        <v>0</v>
      </c>
      <c r="J500" s="3">
        <v>0</v>
      </c>
      <c r="K500" s="3">
        <f t="shared" si="16"/>
        <v>0</v>
      </c>
      <c r="L500" s="3">
        <f>IFERROR(INDEX('CHIRP Payment Calc'!K:K,MATCH(A:A,'CHIRP Payment Calc'!A:A,0)),0)</f>
        <v>0</v>
      </c>
      <c r="M500" s="3">
        <f t="shared" si="17"/>
        <v>0</v>
      </c>
    </row>
    <row r="501" spans="1:13">
      <c r="A501" s="9" t="s">
        <v>1092</v>
      </c>
      <c r="B501" s="9" t="s">
        <v>1366</v>
      </c>
      <c r="C501" s="9" t="s">
        <v>222</v>
      </c>
      <c r="D501" s="4" t="s">
        <v>1093</v>
      </c>
      <c r="E501" s="14" t="s">
        <v>1093</v>
      </c>
      <c r="F501" s="14" t="s">
        <v>1094</v>
      </c>
      <c r="G501" s="14" t="s">
        <v>1092</v>
      </c>
      <c r="H501" s="9" t="s">
        <v>2280</v>
      </c>
      <c r="I501" s="3">
        <v>1562521.8055722031</v>
      </c>
      <c r="J501" s="3">
        <v>567429.32539011689</v>
      </c>
      <c r="K501" s="3">
        <f t="shared" si="16"/>
        <v>2129951.1309623201</v>
      </c>
      <c r="L501" s="3">
        <f>IFERROR(INDEX('CHIRP Payment Calc'!K:K,MATCH(A:A,'CHIRP Payment Calc'!A:A,0)),0)</f>
        <v>2692997.956920153</v>
      </c>
      <c r="M501" s="3">
        <f t="shared" si="17"/>
        <v>-563046.82595783286</v>
      </c>
    </row>
    <row r="502" spans="1:13">
      <c r="A502" s="9" t="s">
        <v>659</v>
      </c>
      <c r="B502" s="9" t="s">
        <v>1366</v>
      </c>
      <c r="C502" s="9" t="s">
        <v>222</v>
      </c>
      <c r="D502" s="4" t="s">
        <v>660</v>
      </c>
      <c r="E502" s="14" t="s">
        <v>660</v>
      </c>
      <c r="F502" s="14" t="s">
        <v>661</v>
      </c>
      <c r="G502" s="14" t="s">
        <v>659</v>
      </c>
      <c r="H502" s="9" t="s">
        <v>2279</v>
      </c>
      <c r="I502" s="3">
        <v>0</v>
      </c>
      <c r="J502" s="3">
        <v>0</v>
      </c>
      <c r="K502" s="3">
        <f t="shared" si="16"/>
        <v>0</v>
      </c>
      <c r="L502" s="3">
        <f>IFERROR(INDEX('CHIRP Payment Calc'!K:K,MATCH(A:A,'CHIRP Payment Calc'!A:A,0)),0)</f>
        <v>0</v>
      </c>
      <c r="M502" s="3">
        <f t="shared" si="17"/>
        <v>0</v>
      </c>
    </row>
    <row r="503" spans="1:13">
      <c r="A503" s="9" t="s">
        <v>828</v>
      </c>
      <c r="B503" s="9" t="s">
        <v>1366</v>
      </c>
      <c r="C503" s="9" t="s">
        <v>222</v>
      </c>
      <c r="D503" s="4" t="s">
        <v>829</v>
      </c>
      <c r="E503" s="14" t="s">
        <v>829</v>
      </c>
      <c r="F503" s="14" t="s">
        <v>830</v>
      </c>
      <c r="G503" s="14" t="s">
        <v>828</v>
      </c>
      <c r="H503" s="9" t="s">
        <v>2278</v>
      </c>
      <c r="I503" s="3">
        <v>2536011.41103371</v>
      </c>
      <c r="J503" s="3">
        <v>523309.20208913431</v>
      </c>
      <c r="K503" s="3">
        <f t="shared" si="16"/>
        <v>3059320.6131228441</v>
      </c>
      <c r="L503" s="3">
        <f>IFERROR(INDEX('CHIRP Payment Calc'!K:K,MATCH(A:A,'CHIRP Payment Calc'!A:A,0)),0)</f>
        <v>7482821.5861716364</v>
      </c>
      <c r="M503" s="3">
        <f t="shared" si="17"/>
        <v>-4423500.9730487922</v>
      </c>
    </row>
    <row r="504" spans="1:13">
      <c r="A504" s="9" t="s">
        <v>626</v>
      </c>
      <c r="B504" s="9" t="s">
        <v>1366</v>
      </c>
      <c r="C504" s="9" t="s">
        <v>222</v>
      </c>
      <c r="D504" s="4" t="s">
        <v>627</v>
      </c>
      <c r="E504" s="14" t="s">
        <v>627</v>
      </c>
      <c r="F504" s="14" t="s">
        <v>628</v>
      </c>
      <c r="G504" s="14" t="s">
        <v>626</v>
      </c>
      <c r="H504" s="9" t="s">
        <v>2277</v>
      </c>
      <c r="I504" s="3">
        <v>633364.3009344358</v>
      </c>
      <c r="J504" s="3">
        <v>2162293.3152594673</v>
      </c>
      <c r="K504" s="3">
        <f t="shared" si="16"/>
        <v>2795657.6161939031</v>
      </c>
      <c r="L504" s="3">
        <f>IFERROR(INDEX('CHIRP Payment Calc'!K:K,MATCH(A:A,'CHIRP Payment Calc'!A:A,0)),0)</f>
        <v>3181258.1505578961</v>
      </c>
      <c r="M504" s="3">
        <f t="shared" si="17"/>
        <v>-385600.53436399298</v>
      </c>
    </row>
    <row r="505" spans="1:13">
      <c r="A505" s="9" t="s">
        <v>1101</v>
      </c>
      <c r="B505" s="9" t="s">
        <v>1366</v>
      </c>
      <c r="C505" s="9" t="s">
        <v>222</v>
      </c>
      <c r="D505" s="4" t="s">
        <v>1102</v>
      </c>
      <c r="E505" s="14" t="s">
        <v>1102</v>
      </c>
      <c r="F505" s="14" t="s">
        <v>1103</v>
      </c>
      <c r="G505" s="14" t="s">
        <v>1101</v>
      </c>
      <c r="H505" s="9" t="s">
        <v>2276</v>
      </c>
      <c r="I505" s="3">
        <v>18234950.647716425</v>
      </c>
      <c r="J505" s="3">
        <v>18497903.620186023</v>
      </c>
      <c r="K505" s="3">
        <f t="shared" si="16"/>
        <v>36732854.267902449</v>
      </c>
      <c r="L505" s="3">
        <f>IFERROR(INDEX('CHIRP Payment Calc'!K:K,MATCH(A:A,'CHIRP Payment Calc'!A:A,0)),0)</f>
        <v>31821307.790641315</v>
      </c>
      <c r="M505" s="3">
        <f t="shared" si="17"/>
        <v>4911546.4772611335</v>
      </c>
    </row>
    <row r="506" spans="1:13">
      <c r="A506" s="9" t="s">
        <v>1098</v>
      </c>
      <c r="B506" s="9" t="s">
        <v>1366</v>
      </c>
      <c r="C506" s="9" t="s">
        <v>222</v>
      </c>
      <c r="D506" s="4" t="s">
        <v>1099</v>
      </c>
      <c r="E506" s="14" t="s">
        <v>1099</v>
      </c>
      <c r="F506" s="14" t="s">
        <v>1100</v>
      </c>
      <c r="G506" s="14" t="s">
        <v>1098</v>
      </c>
      <c r="H506" s="9" t="s">
        <v>2275</v>
      </c>
      <c r="I506" s="3">
        <v>1555515.2258921319</v>
      </c>
      <c r="J506" s="3">
        <v>1216311.6748973615</v>
      </c>
      <c r="K506" s="3">
        <f t="shared" si="16"/>
        <v>2771826.9007894937</v>
      </c>
      <c r="L506" s="3">
        <f>IFERROR(INDEX('CHIRP Payment Calc'!K:K,MATCH(A:A,'CHIRP Payment Calc'!A:A,0)),0)</f>
        <v>1871027.0596822307</v>
      </c>
      <c r="M506" s="3">
        <f t="shared" si="17"/>
        <v>900799.841107263</v>
      </c>
    </row>
    <row r="507" spans="1:13">
      <c r="A507" s="9" t="s">
        <v>1405</v>
      </c>
      <c r="B507" s="9" t="s">
        <v>1366</v>
      </c>
      <c r="C507" s="9" t="s">
        <v>222</v>
      </c>
      <c r="D507" s="4" t="s">
        <v>1406</v>
      </c>
      <c r="E507" s="14" t="s">
        <v>1406</v>
      </c>
      <c r="F507" s="14" t="s">
        <v>1407</v>
      </c>
      <c r="G507" s="14" t="s">
        <v>1405</v>
      </c>
      <c r="H507" s="9" t="s">
        <v>2274</v>
      </c>
      <c r="I507" s="3">
        <v>0</v>
      </c>
      <c r="J507" s="3">
        <v>0</v>
      </c>
      <c r="K507" s="3">
        <f t="shared" si="16"/>
        <v>0</v>
      </c>
      <c r="L507" s="3">
        <f>IFERROR(INDEX('CHIRP Payment Calc'!K:K,MATCH(A:A,'CHIRP Payment Calc'!A:A,0)),0)</f>
        <v>0</v>
      </c>
      <c r="M507" s="3">
        <f t="shared" si="17"/>
        <v>0</v>
      </c>
    </row>
    <row r="508" spans="1:13">
      <c r="A508" s="9" t="s">
        <v>7</v>
      </c>
      <c r="B508" s="9" t="s">
        <v>1366</v>
      </c>
      <c r="C508" s="9" t="s">
        <v>222</v>
      </c>
      <c r="D508" s="4" t="s">
        <v>8</v>
      </c>
      <c r="E508" s="14" t="s">
        <v>8</v>
      </c>
      <c r="F508" s="14" t="s">
        <v>9</v>
      </c>
      <c r="G508" s="14" t="s">
        <v>7</v>
      </c>
      <c r="H508" s="9" t="s">
        <v>2273</v>
      </c>
      <c r="I508" s="3">
        <v>33523.526441429174</v>
      </c>
      <c r="J508" s="3">
        <v>123628.1511629845</v>
      </c>
      <c r="K508" s="3">
        <f t="shared" si="16"/>
        <v>157151.67760441368</v>
      </c>
      <c r="L508" s="3">
        <f>IFERROR(INDEX('CHIRP Payment Calc'!K:K,MATCH(A:A,'CHIRP Payment Calc'!A:A,0)),0)</f>
        <v>157486.24615916712</v>
      </c>
      <c r="M508" s="3">
        <f t="shared" si="17"/>
        <v>-334.56855475343764</v>
      </c>
    </row>
    <row r="509" spans="1:13">
      <c r="A509" s="9" t="s">
        <v>1168</v>
      </c>
      <c r="B509" s="9" t="s">
        <v>1366</v>
      </c>
      <c r="C509" s="9" t="s">
        <v>222</v>
      </c>
      <c r="D509" s="4" t="s">
        <v>1169</v>
      </c>
      <c r="E509" s="14" t="s">
        <v>1169</v>
      </c>
      <c r="F509" s="14" t="s">
        <v>1170</v>
      </c>
      <c r="G509" s="14" t="s">
        <v>1168</v>
      </c>
      <c r="H509" s="9" t="s">
        <v>2272</v>
      </c>
      <c r="I509" s="3">
        <v>1558424.2384121178</v>
      </c>
      <c r="J509" s="3">
        <v>1451481.562033016</v>
      </c>
      <c r="K509" s="3">
        <f t="shared" si="16"/>
        <v>3009905.8004451338</v>
      </c>
      <c r="L509" s="3">
        <f>IFERROR(INDEX('CHIRP Payment Calc'!K:K,MATCH(A:A,'CHIRP Payment Calc'!A:A,0)),0)</f>
        <v>2580455.4173414269</v>
      </c>
      <c r="M509" s="3">
        <f t="shared" si="17"/>
        <v>429450.38310370687</v>
      </c>
    </row>
    <row r="510" spans="1:13">
      <c r="A510" s="9" t="s">
        <v>1104</v>
      </c>
      <c r="B510" s="9" t="s">
        <v>1366</v>
      </c>
      <c r="C510" s="9" t="s">
        <v>222</v>
      </c>
      <c r="D510" s="4" t="s">
        <v>1105</v>
      </c>
      <c r="E510" s="14" t="s">
        <v>1105</v>
      </c>
      <c r="F510" s="14" t="s">
        <v>1106</v>
      </c>
      <c r="G510" s="14" t="s">
        <v>1104</v>
      </c>
      <c r="H510" s="9" t="s">
        <v>2271</v>
      </c>
      <c r="I510" s="3">
        <v>6300006.0982818706</v>
      </c>
      <c r="J510" s="3">
        <v>3182569.4842539532</v>
      </c>
      <c r="K510" s="3">
        <f t="shared" si="16"/>
        <v>9482575.5825358238</v>
      </c>
      <c r="L510" s="3">
        <f>IFERROR(INDEX('CHIRP Payment Calc'!K:K,MATCH(A:A,'CHIRP Payment Calc'!A:A,0)),0)</f>
        <v>8579630.8230455481</v>
      </c>
      <c r="M510" s="3">
        <f t="shared" si="17"/>
        <v>902944.75949027576</v>
      </c>
    </row>
    <row r="511" spans="1:13">
      <c r="A511" s="9" t="s">
        <v>1421</v>
      </c>
      <c r="B511" s="9" t="s">
        <v>1366</v>
      </c>
      <c r="C511" s="9" t="s">
        <v>222</v>
      </c>
      <c r="D511" s="4" t="s">
        <v>1422</v>
      </c>
      <c r="E511" s="14" t="s">
        <v>1422</v>
      </c>
      <c r="F511" s="14" t="s">
        <v>1423</v>
      </c>
      <c r="G511" s="14" t="s">
        <v>1421</v>
      </c>
      <c r="H511" s="9" t="s">
        <v>2270</v>
      </c>
      <c r="I511" s="3">
        <v>0</v>
      </c>
      <c r="J511" s="3">
        <v>0</v>
      </c>
      <c r="K511" s="3">
        <f t="shared" si="16"/>
        <v>0</v>
      </c>
      <c r="L511" s="3">
        <f>IFERROR(INDEX('CHIRP Payment Calc'!K:K,MATCH(A:A,'CHIRP Payment Calc'!A:A,0)),0)</f>
        <v>0</v>
      </c>
      <c r="M511" s="3">
        <f t="shared" si="17"/>
        <v>0</v>
      </c>
    </row>
    <row r="512" spans="1:13">
      <c r="A512" s="9" t="s">
        <v>1095</v>
      </c>
      <c r="B512" s="9" t="s">
        <v>1366</v>
      </c>
      <c r="C512" s="9" t="s">
        <v>222</v>
      </c>
      <c r="D512" s="4" t="s">
        <v>1096</v>
      </c>
      <c r="E512" s="14" t="s">
        <v>1096</v>
      </c>
      <c r="F512" s="14" t="s">
        <v>1097</v>
      </c>
      <c r="G512" s="14" t="s">
        <v>1095</v>
      </c>
      <c r="H512" s="9" t="s">
        <v>2269</v>
      </c>
      <c r="I512" s="3">
        <v>437275.601460387</v>
      </c>
      <c r="J512" s="3">
        <v>719232.90632195154</v>
      </c>
      <c r="K512" s="3">
        <f t="shared" si="16"/>
        <v>1156508.5077823387</v>
      </c>
      <c r="L512" s="3">
        <f>IFERROR(INDEX('CHIRP Payment Calc'!K:K,MATCH(A:A,'CHIRP Payment Calc'!A:A,0)),0)</f>
        <v>1195451.9564874021</v>
      </c>
      <c r="M512" s="3">
        <f t="shared" si="17"/>
        <v>-38943.448705063434</v>
      </c>
    </row>
    <row r="513" spans="1:13">
      <c r="A513" s="9" t="s">
        <v>635</v>
      </c>
      <c r="B513" s="9" t="s">
        <v>1366</v>
      </c>
      <c r="C513" s="9" t="s">
        <v>222</v>
      </c>
      <c r="D513" s="4" t="s">
        <v>636</v>
      </c>
      <c r="E513" s="14" t="s">
        <v>636</v>
      </c>
      <c r="F513" s="14" t="s">
        <v>637</v>
      </c>
      <c r="G513" s="14" t="s">
        <v>635</v>
      </c>
      <c r="H513" s="9" t="s">
        <v>2268</v>
      </c>
      <c r="I513" s="3">
        <v>564123.15981949074</v>
      </c>
      <c r="J513" s="3">
        <v>1247006.6495898492</v>
      </c>
      <c r="K513" s="3">
        <f t="shared" si="16"/>
        <v>1811129.8094093399</v>
      </c>
      <c r="L513" s="3">
        <f>IFERROR(INDEX('CHIRP Payment Calc'!K:K,MATCH(A:A,'CHIRP Payment Calc'!A:A,0)),0)</f>
        <v>3046119.9477628898</v>
      </c>
      <c r="M513" s="3">
        <f t="shared" si="17"/>
        <v>-1234990.1383535499</v>
      </c>
    </row>
    <row r="514" spans="1:13">
      <c r="A514" s="9" t="e">
        <v>#N/A</v>
      </c>
      <c r="B514" s="9" t="s">
        <v>1366</v>
      </c>
      <c r="C514" s="9" t="s">
        <v>222</v>
      </c>
      <c r="D514" s="4" t="s">
        <v>2267</v>
      </c>
      <c r="E514" s="14" t="e">
        <v>#N/A</v>
      </c>
      <c r="F514" s="14" t="e">
        <v>#N/A</v>
      </c>
      <c r="G514" s="14" t="e">
        <v>#N/A</v>
      </c>
      <c r="H514" s="9" t="s">
        <v>2266</v>
      </c>
      <c r="I514" s="3">
        <v>0</v>
      </c>
      <c r="J514" s="3">
        <v>0</v>
      </c>
      <c r="K514" s="3">
        <f t="shared" si="16"/>
        <v>0</v>
      </c>
      <c r="L514" s="3">
        <f>IFERROR(INDEX('CHIRP Payment Calc'!K:K,MATCH(A:A,'CHIRP Payment Calc'!A:A,0)),0)</f>
        <v>0</v>
      </c>
      <c r="M514" s="3">
        <f t="shared" si="17"/>
        <v>0</v>
      </c>
    </row>
    <row r="515" spans="1:13">
      <c r="A515" s="9" t="s">
        <v>1411</v>
      </c>
      <c r="D515" s="4" t="s">
        <v>1812</v>
      </c>
      <c r="E515" s="14" t="s">
        <v>1812</v>
      </c>
      <c r="F515" s="14" t="s">
        <v>2517</v>
      </c>
      <c r="G515" s="14" t="s">
        <v>1411</v>
      </c>
      <c r="H515" s="9" t="s">
        <v>2517</v>
      </c>
      <c r="I515" s="3" t="e">
        <f>#REF!+#REF!</f>
        <v>#REF!</v>
      </c>
      <c r="J515" s="3" t="e">
        <f>#REF!+#REF!</f>
        <v>#REF!</v>
      </c>
      <c r="K515" s="3" t="e">
        <f t="shared" si="16"/>
        <v>#REF!</v>
      </c>
      <c r="L515" s="3">
        <f>IFERROR(INDEX('CHIRP Payment Calc'!K:K,MATCH(A:A,'CHIRP Payment Calc'!A:A,0)),0)</f>
        <v>0</v>
      </c>
      <c r="M515" s="3" t="e">
        <f t="shared" si="17"/>
        <v>#REF!</v>
      </c>
    </row>
    <row r="516" spans="1:13">
      <c r="A516" s="9" t="s">
        <v>204</v>
      </c>
      <c r="B516" s="9" t="s">
        <v>1366</v>
      </c>
      <c r="C516" s="9" t="s">
        <v>222</v>
      </c>
      <c r="D516" s="4" t="s">
        <v>205</v>
      </c>
      <c r="E516" s="14" t="s">
        <v>205</v>
      </c>
      <c r="F516" s="14" t="s">
        <v>206</v>
      </c>
      <c r="G516" s="14" t="s">
        <v>204</v>
      </c>
      <c r="H516" s="9" t="s">
        <v>2265</v>
      </c>
      <c r="I516" s="3">
        <v>0</v>
      </c>
      <c r="J516" s="3">
        <v>0</v>
      </c>
      <c r="K516" s="3">
        <f t="shared" si="16"/>
        <v>0</v>
      </c>
      <c r="L516" s="3">
        <f>IFERROR(INDEX('CHIRP Payment Calc'!K:K,MATCH(A:A,'CHIRP Payment Calc'!A:A,0)),0)</f>
        <v>0</v>
      </c>
      <c r="M516" s="3">
        <f t="shared" si="17"/>
        <v>0</v>
      </c>
    </row>
    <row r="517" spans="1:13">
      <c r="A517" s="9" t="s">
        <v>404</v>
      </c>
      <c r="B517" s="9" t="s">
        <v>1366</v>
      </c>
      <c r="C517" s="9" t="s">
        <v>222</v>
      </c>
      <c r="D517" s="4" t="s">
        <v>405</v>
      </c>
      <c r="E517" s="14" t="s">
        <v>405</v>
      </c>
      <c r="F517" s="14" t="s">
        <v>406</v>
      </c>
      <c r="G517" s="14" t="s">
        <v>404</v>
      </c>
      <c r="H517" s="9" t="s">
        <v>2264</v>
      </c>
      <c r="I517" s="3">
        <v>55936.646126578547</v>
      </c>
      <c r="J517" s="3">
        <v>38311.394953697411</v>
      </c>
      <c r="K517" s="3">
        <f t="shared" si="16"/>
        <v>94248.041080275958</v>
      </c>
      <c r="L517" s="3">
        <f>IFERROR(INDEX('CHIRP Payment Calc'!K:K,MATCH(A:A,'CHIRP Payment Calc'!A:A,0)),0)</f>
        <v>158036.82044787682</v>
      </c>
      <c r="M517" s="3">
        <f t="shared" si="17"/>
        <v>-63788.779367600859</v>
      </c>
    </row>
    <row r="518" spans="1:13">
      <c r="A518" s="9" t="s">
        <v>638</v>
      </c>
      <c r="B518" s="9" t="s">
        <v>1366</v>
      </c>
      <c r="C518" s="9" t="s">
        <v>222</v>
      </c>
      <c r="D518" s="4" t="s">
        <v>639</v>
      </c>
      <c r="E518" s="14" t="s">
        <v>639</v>
      </c>
      <c r="F518" s="14" t="s">
        <v>640</v>
      </c>
      <c r="G518" s="14" t="s">
        <v>638</v>
      </c>
      <c r="H518" s="9" t="s">
        <v>2263</v>
      </c>
      <c r="I518" s="3">
        <v>1416039.1799435292</v>
      </c>
      <c r="J518" s="3">
        <v>4336459.1534202658</v>
      </c>
      <c r="K518" s="3">
        <f t="shared" si="16"/>
        <v>5752498.3333637947</v>
      </c>
      <c r="L518" s="3">
        <f>IFERROR(INDEX('CHIRP Payment Calc'!K:K,MATCH(A:A,'CHIRP Payment Calc'!A:A,0)),0)</f>
        <v>6848005.6567447353</v>
      </c>
      <c r="M518" s="3">
        <f t="shared" si="17"/>
        <v>-1095507.3233809406</v>
      </c>
    </row>
    <row r="519" spans="1:13">
      <c r="A519" s="9" t="s">
        <v>468</v>
      </c>
      <c r="B519" s="9" t="s">
        <v>1366</v>
      </c>
      <c r="C519" s="9" t="s">
        <v>222</v>
      </c>
      <c r="D519" s="4" t="s">
        <v>469</v>
      </c>
      <c r="E519" s="14" t="s">
        <v>469</v>
      </c>
      <c r="F519" s="14" t="s">
        <v>470</v>
      </c>
      <c r="G519" s="14" t="s">
        <v>468</v>
      </c>
      <c r="H519" s="9" t="s">
        <v>1604</v>
      </c>
      <c r="I519" s="3">
        <v>165691.00927211772</v>
      </c>
      <c r="J519" s="3">
        <v>419416.50936218415</v>
      </c>
      <c r="K519" s="3">
        <f t="shared" si="16"/>
        <v>585107.51863430184</v>
      </c>
      <c r="L519" s="3">
        <f>IFERROR(INDEX('CHIRP Payment Calc'!K:K,MATCH(A:A,'CHIRP Payment Calc'!A:A,0)),0)</f>
        <v>0</v>
      </c>
      <c r="M519" s="3">
        <f t="shared" si="17"/>
        <v>585107.51863430184</v>
      </c>
    </row>
    <row r="520" spans="1:13">
      <c r="A520" s="9" t="s">
        <v>509</v>
      </c>
      <c r="B520" s="9" t="s">
        <v>1366</v>
      </c>
      <c r="C520" s="9" t="s">
        <v>222</v>
      </c>
      <c r="D520" s="4" t="s">
        <v>510</v>
      </c>
      <c r="E520" s="14" t="s">
        <v>510</v>
      </c>
      <c r="F520" s="14" t="s">
        <v>511</v>
      </c>
      <c r="G520" s="14" t="s">
        <v>509</v>
      </c>
      <c r="H520" s="9" t="s">
        <v>511</v>
      </c>
      <c r="I520" s="3">
        <v>11847883.680187967</v>
      </c>
      <c r="J520" s="3">
        <v>0</v>
      </c>
      <c r="K520" s="3">
        <f t="shared" ref="K520:K583" si="18">I520+J520</f>
        <v>11847883.680187967</v>
      </c>
      <c r="L520" s="3">
        <f>IFERROR(INDEX('CHIRP Payment Calc'!K:K,MATCH(A:A,'CHIRP Payment Calc'!A:A,0)),0)</f>
        <v>18117206.87325668</v>
      </c>
      <c r="M520" s="3">
        <f t="shared" ref="M520:M583" si="19">K520-L520</f>
        <v>-6269323.1930687129</v>
      </c>
    </row>
    <row r="521" spans="1:13">
      <c r="A521" s="9" t="s">
        <v>120</v>
      </c>
      <c r="B521" s="9" t="s">
        <v>1366</v>
      </c>
      <c r="C521" s="9" t="s">
        <v>222</v>
      </c>
      <c r="D521" s="4" t="s">
        <v>121</v>
      </c>
      <c r="E521" s="14" t="s">
        <v>121</v>
      </c>
      <c r="F521" s="14" t="s">
        <v>122</v>
      </c>
      <c r="G521" s="14" t="s">
        <v>120</v>
      </c>
      <c r="H521" s="9" t="s">
        <v>2262</v>
      </c>
      <c r="I521" s="3">
        <v>0</v>
      </c>
      <c r="J521" s="3">
        <v>0</v>
      </c>
      <c r="K521" s="3">
        <f t="shared" si="18"/>
        <v>0</v>
      </c>
      <c r="L521" s="3">
        <f>IFERROR(INDEX('CHIRP Payment Calc'!K:K,MATCH(A:A,'CHIRP Payment Calc'!A:A,0)),0)</f>
        <v>272729.11462037743</v>
      </c>
      <c r="M521" s="3">
        <f t="shared" si="19"/>
        <v>-272729.11462037743</v>
      </c>
    </row>
    <row r="522" spans="1:13">
      <c r="A522" s="9" t="s">
        <v>264</v>
      </c>
      <c r="B522" s="9" t="s">
        <v>1366</v>
      </c>
      <c r="C522" s="9" t="s">
        <v>222</v>
      </c>
      <c r="D522" s="4" t="s">
        <v>265</v>
      </c>
      <c r="E522" s="14" t="s">
        <v>265</v>
      </c>
      <c r="F522" s="14" t="s">
        <v>266</v>
      </c>
      <c r="G522" s="14" t="s">
        <v>264</v>
      </c>
      <c r="H522" s="9" t="s">
        <v>2261</v>
      </c>
      <c r="I522" s="3">
        <v>2043621.2259649951</v>
      </c>
      <c r="J522" s="3">
        <v>778332.31864209566</v>
      </c>
      <c r="K522" s="3">
        <f t="shared" si="18"/>
        <v>2821953.5446070908</v>
      </c>
      <c r="L522" s="3">
        <f>IFERROR(INDEX('CHIRP Payment Calc'!K:K,MATCH(A:A,'CHIRP Payment Calc'!A:A,0)),0)</f>
        <v>4031131.4431108804</v>
      </c>
      <c r="M522" s="3">
        <f t="shared" si="19"/>
        <v>-1209177.8985037897</v>
      </c>
    </row>
    <row r="523" spans="1:13">
      <c r="A523" s="9" t="s">
        <v>1412</v>
      </c>
      <c r="B523" s="9" t="s">
        <v>1366</v>
      </c>
      <c r="C523" s="9" t="s">
        <v>222</v>
      </c>
      <c r="D523" s="4" t="s">
        <v>1413</v>
      </c>
      <c r="E523" s="14" t="s">
        <v>1413</v>
      </c>
      <c r="F523" s="14" t="s">
        <v>1414</v>
      </c>
      <c r="G523" s="14" t="s">
        <v>1412</v>
      </c>
      <c r="H523" s="9" t="s">
        <v>1414</v>
      </c>
      <c r="I523" s="3">
        <v>0</v>
      </c>
      <c r="J523" s="3">
        <v>0</v>
      </c>
      <c r="K523" s="3">
        <f t="shared" si="18"/>
        <v>0</v>
      </c>
      <c r="L523" s="3">
        <f>IFERROR(INDEX('CHIRP Payment Calc'!K:K,MATCH(A:A,'CHIRP Payment Calc'!A:A,0)),0)</f>
        <v>0</v>
      </c>
      <c r="M523" s="3">
        <f t="shared" si="19"/>
        <v>0</v>
      </c>
    </row>
    <row r="524" spans="1:13">
      <c r="A524" s="9" t="s">
        <v>1665</v>
      </c>
      <c r="B524" s="9" t="s">
        <v>1366</v>
      </c>
      <c r="C524" s="9" t="s">
        <v>222</v>
      </c>
      <c r="D524" s="4" t="s">
        <v>1666</v>
      </c>
      <c r="E524" s="14" t="s">
        <v>1666</v>
      </c>
      <c r="F524" s="14" t="e">
        <v>#N/A</v>
      </c>
      <c r="G524" s="14" t="s">
        <v>1665</v>
      </c>
      <c r="H524" s="9" t="s">
        <v>2260</v>
      </c>
      <c r="I524" s="3">
        <v>0</v>
      </c>
      <c r="J524" s="3">
        <v>0</v>
      </c>
      <c r="K524" s="3">
        <f t="shared" si="18"/>
        <v>0</v>
      </c>
      <c r="L524" s="3">
        <f>IFERROR(INDEX('CHIRP Payment Calc'!K:K,MATCH(A:A,'CHIRP Payment Calc'!A:A,0)),0)</f>
        <v>0</v>
      </c>
      <c r="M524" s="3">
        <f t="shared" si="19"/>
        <v>0</v>
      </c>
    </row>
    <row r="525" spans="1:13">
      <c r="A525" s="9" t="s">
        <v>1125</v>
      </c>
      <c r="B525" s="9" t="s">
        <v>1366</v>
      </c>
      <c r="C525" s="9" t="s">
        <v>222</v>
      </c>
      <c r="D525" s="4" t="s">
        <v>1126</v>
      </c>
      <c r="E525" s="14" t="s">
        <v>1126</v>
      </c>
      <c r="F525" s="14" t="s">
        <v>1127</v>
      </c>
      <c r="G525" s="14" t="s">
        <v>1125</v>
      </c>
      <c r="H525" s="9" t="s">
        <v>2259</v>
      </c>
      <c r="I525" s="3">
        <v>0</v>
      </c>
      <c r="J525" s="3">
        <v>0</v>
      </c>
      <c r="K525" s="3">
        <f t="shared" si="18"/>
        <v>0</v>
      </c>
      <c r="L525" s="3">
        <f>IFERROR(INDEX('CHIRP Payment Calc'!K:K,MATCH(A:A,'CHIRP Payment Calc'!A:A,0)),0)</f>
        <v>0</v>
      </c>
      <c r="M525" s="3">
        <f t="shared" si="19"/>
        <v>0</v>
      </c>
    </row>
    <row r="526" spans="1:13">
      <c r="A526" s="9" t="s">
        <v>1500</v>
      </c>
      <c r="B526" s="9" t="s">
        <v>1366</v>
      </c>
      <c r="C526" s="9" t="s">
        <v>222</v>
      </c>
      <c r="D526" s="4" t="s">
        <v>1501</v>
      </c>
      <c r="E526" s="14" t="s">
        <v>1501</v>
      </c>
      <c r="F526" s="14" t="s">
        <v>1502</v>
      </c>
      <c r="G526" s="14" t="s">
        <v>1500</v>
      </c>
      <c r="H526" s="9" t="s">
        <v>2258</v>
      </c>
      <c r="I526" s="3">
        <v>0</v>
      </c>
      <c r="J526" s="3">
        <v>0</v>
      </c>
      <c r="K526" s="3">
        <f t="shared" si="18"/>
        <v>0</v>
      </c>
      <c r="L526" s="3">
        <f>IFERROR(INDEX('CHIRP Payment Calc'!K:K,MATCH(A:A,'CHIRP Payment Calc'!A:A,0)),0)</f>
        <v>0</v>
      </c>
      <c r="M526" s="3">
        <f t="shared" si="19"/>
        <v>0</v>
      </c>
    </row>
    <row r="527" spans="1:13">
      <c r="A527" s="9" t="s">
        <v>1424</v>
      </c>
      <c r="B527" s="9" t="s">
        <v>1366</v>
      </c>
      <c r="C527" s="9" t="s">
        <v>222</v>
      </c>
      <c r="D527" s="4" t="s">
        <v>1425</v>
      </c>
      <c r="E527" s="14" t="s">
        <v>1425</v>
      </c>
      <c r="F527" s="14" t="s">
        <v>1426</v>
      </c>
      <c r="G527" s="14" t="s">
        <v>1424</v>
      </c>
      <c r="H527" s="9" t="s">
        <v>1945</v>
      </c>
      <c r="I527" s="3">
        <v>0</v>
      </c>
      <c r="J527" s="3">
        <v>0</v>
      </c>
      <c r="K527" s="3">
        <f t="shared" si="18"/>
        <v>0</v>
      </c>
      <c r="L527" s="3">
        <f>IFERROR(INDEX('CHIRP Payment Calc'!K:K,MATCH(A:A,'CHIRP Payment Calc'!A:A,0)),0)</f>
        <v>0</v>
      </c>
      <c r="M527" s="3">
        <f t="shared" si="19"/>
        <v>0</v>
      </c>
    </row>
    <row r="528" spans="1:13">
      <c r="A528" s="9" t="s">
        <v>149</v>
      </c>
      <c r="B528" s="9" t="s">
        <v>1366</v>
      </c>
      <c r="C528" s="9" t="s">
        <v>222</v>
      </c>
      <c r="D528" s="4" t="s">
        <v>150</v>
      </c>
      <c r="E528" s="14" t="s">
        <v>150</v>
      </c>
      <c r="F528" s="14" t="s">
        <v>151</v>
      </c>
      <c r="G528" s="14" t="s">
        <v>149</v>
      </c>
      <c r="H528" s="9" t="s">
        <v>2257</v>
      </c>
      <c r="I528" s="3">
        <v>0</v>
      </c>
      <c r="J528" s="3">
        <v>0</v>
      </c>
      <c r="K528" s="3">
        <f t="shared" si="18"/>
        <v>0</v>
      </c>
      <c r="L528" s="3">
        <f>IFERROR(INDEX('CHIRP Payment Calc'!K:K,MATCH(A:A,'CHIRP Payment Calc'!A:A,0)),0)</f>
        <v>0</v>
      </c>
      <c r="M528" s="3">
        <f t="shared" si="19"/>
        <v>0</v>
      </c>
    </row>
    <row r="529" spans="1:13">
      <c r="A529" s="9" t="s">
        <v>929</v>
      </c>
      <c r="B529" s="9" t="s">
        <v>1366</v>
      </c>
      <c r="C529" s="9" t="s">
        <v>222</v>
      </c>
      <c r="D529" s="4" t="s">
        <v>930</v>
      </c>
      <c r="E529" s="14" t="s">
        <v>930</v>
      </c>
      <c r="F529" s="14" t="s">
        <v>931</v>
      </c>
      <c r="G529" s="14" t="s">
        <v>929</v>
      </c>
      <c r="H529" s="9" t="s">
        <v>2256</v>
      </c>
      <c r="I529" s="3">
        <v>1749175.1640318572</v>
      </c>
      <c r="J529" s="3">
        <v>476072.85106844828</v>
      </c>
      <c r="K529" s="3">
        <f t="shared" si="18"/>
        <v>2225248.0151003054</v>
      </c>
      <c r="L529" s="3">
        <f>IFERROR(INDEX('CHIRP Payment Calc'!K:K,MATCH(A:A,'CHIRP Payment Calc'!A:A,0)),0)</f>
        <v>3785036.0471326625</v>
      </c>
      <c r="M529" s="3">
        <f t="shared" si="19"/>
        <v>-1559788.0320323571</v>
      </c>
    </row>
    <row r="530" spans="1:13">
      <c r="A530" s="9" t="s">
        <v>143</v>
      </c>
      <c r="B530" s="9" t="s">
        <v>1366</v>
      </c>
      <c r="C530" s="9" t="s">
        <v>222</v>
      </c>
      <c r="D530" s="4" t="s">
        <v>144</v>
      </c>
      <c r="E530" s="14" t="s">
        <v>144</v>
      </c>
      <c r="F530" s="14" t="s">
        <v>145</v>
      </c>
      <c r="G530" s="14" t="s">
        <v>143</v>
      </c>
      <c r="H530" s="9" t="s">
        <v>2255</v>
      </c>
      <c r="I530" s="3">
        <v>1656160.464769335</v>
      </c>
      <c r="J530" s="3">
        <v>291372.97792092885</v>
      </c>
      <c r="K530" s="3">
        <f t="shared" si="18"/>
        <v>1947533.442690264</v>
      </c>
      <c r="L530" s="3">
        <f>IFERROR(INDEX('CHIRP Payment Calc'!K:K,MATCH(A:A,'CHIRP Payment Calc'!A:A,0)),0)</f>
        <v>1465453.8202327034</v>
      </c>
      <c r="M530" s="3">
        <f t="shared" si="19"/>
        <v>482079.62245756062</v>
      </c>
    </row>
    <row r="531" spans="1:13">
      <c r="A531" s="9" t="s">
        <v>207</v>
      </c>
      <c r="B531" s="9" t="s">
        <v>1366</v>
      </c>
      <c r="C531" s="9" t="s">
        <v>222</v>
      </c>
      <c r="D531" s="4" t="s">
        <v>208</v>
      </c>
      <c r="E531" s="14" t="s">
        <v>208</v>
      </c>
      <c r="F531" s="14" t="s">
        <v>209</v>
      </c>
      <c r="G531" s="14" t="s">
        <v>207</v>
      </c>
      <c r="H531" s="9" t="s">
        <v>2254</v>
      </c>
      <c r="I531" s="3">
        <v>0</v>
      </c>
      <c r="J531" s="3">
        <v>0</v>
      </c>
      <c r="K531" s="3">
        <f t="shared" si="18"/>
        <v>0</v>
      </c>
      <c r="L531" s="3">
        <f>IFERROR(INDEX('CHIRP Payment Calc'!K:K,MATCH(A:A,'CHIRP Payment Calc'!A:A,0)),0)</f>
        <v>0</v>
      </c>
      <c r="M531" s="3">
        <f t="shared" si="19"/>
        <v>0</v>
      </c>
    </row>
    <row r="532" spans="1:13">
      <c r="A532" s="9" t="s">
        <v>28</v>
      </c>
      <c r="B532" s="9" t="s">
        <v>1366</v>
      </c>
      <c r="C532" s="9" t="s">
        <v>222</v>
      </c>
      <c r="D532" s="4" t="s">
        <v>29</v>
      </c>
      <c r="E532" s="14" t="s">
        <v>29</v>
      </c>
      <c r="F532" s="14" t="s">
        <v>30</v>
      </c>
      <c r="G532" s="14" t="s">
        <v>28</v>
      </c>
      <c r="H532" s="9" t="s">
        <v>2253</v>
      </c>
      <c r="I532" s="3">
        <v>115763.63583012542</v>
      </c>
      <c r="J532" s="3">
        <v>0</v>
      </c>
      <c r="K532" s="3">
        <f t="shared" si="18"/>
        <v>115763.63583012542</v>
      </c>
      <c r="L532" s="3">
        <f>IFERROR(INDEX('CHIRP Payment Calc'!K:K,MATCH(A:A,'CHIRP Payment Calc'!A:A,0)),0)</f>
        <v>0</v>
      </c>
      <c r="M532" s="3">
        <f t="shared" si="19"/>
        <v>115763.63583012542</v>
      </c>
    </row>
    <row r="533" spans="1:13">
      <c r="A533" s="9" t="e">
        <v>#N/A</v>
      </c>
      <c r="B533" s="9" t="s">
        <v>1366</v>
      </c>
      <c r="C533" s="9" t="s">
        <v>222</v>
      </c>
      <c r="D533" s="4" t="s">
        <v>2252</v>
      </c>
      <c r="E533" s="14" t="e">
        <v>#N/A</v>
      </c>
      <c r="F533" s="14" t="e">
        <v>#N/A</v>
      </c>
      <c r="G533" s="14" t="e">
        <v>#N/A</v>
      </c>
      <c r="H533" s="9" t="s">
        <v>2251</v>
      </c>
      <c r="I533" s="3">
        <v>0</v>
      </c>
      <c r="J533" s="3">
        <v>0</v>
      </c>
      <c r="K533" s="3">
        <f t="shared" si="18"/>
        <v>0</v>
      </c>
      <c r="L533" s="3">
        <f>IFERROR(INDEX('CHIRP Payment Calc'!K:K,MATCH(A:A,'CHIRP Payment Calc'!A:A,0)),0)</f>
        <v>0</v>
      </c>
      <c r="M533" s="3">
        <f t="shared" si="19"/>
        <v>0</v>
      </c>
    </row>
    <row r="534" spans="1:13">
      <c r="A534" s="9" t="s">
        <v>456</v>
      </c>
      <c r="B534" s="9" t="s">
        <v>1366</v>
      </c>
      <c r="C534" s="9" t="s">
        <v>222</v>
      </c>
      <c r="D534" s="4" t="s">
        <v>457</v>
      </c>
      <c r="E534" s="14" t="s">
        <v>457</v>
      </c>
      <c r="F534" s="14" t="s">
        <v>458</v>
      </c>
      <c r="G534" s="14" t="s">
        <v>456</v>
      </c>
      <c r="H534" s="9" t="s">
        <v>2186</v>
      </c>
      <c r="I534" s="3">
        <v>0</v>
      </c>
      <c r="J534" s="3">
        <v>0</v>
      </c>
      <c r="K534" s="3">
        <f t="shared" si="18"/>
        <v>0</v>
      </c>
      <c r="L534" s="3">
        <f>IFERROR(INDEX('CHIRP Payment Calc'!K:K,MATCH(A:A,'CHIRP Payment Calc'!A:A,0)),0)</f>
        <v>0</v>
      </c>
      <c r="M534" s="3">
        <f t="shared" si="19"/>
        <v>0</v>
      </c>
    </row>
    <row r="535" spans="1:13">
      <c r="A535" s="9" t="s">
        <v>780</v>
      </c>
      <c r="B535" s="9" t="s">
        <v>1366</v>
      </c>
      <c r="C535" s="9" t="s">
        <v>1481</v>
      </c>
      <c r="D535" s="4" t="s">
        <v>781</v>
      </c>
      <c r="E535" s="14" t="s">
        <v>781</v>
      </c>
      <c r="F535" s="14" t="s">
        <v>782</v>
      </c>
      <c r="G535" s="14" t="s">
        <v>780</v>
      </c>
      <c r="H535" s="9" t="s">
        <v>1904</v>
      </c>
      <c r="I535" s="3">
        <v>2320743.0215383782</v>
      </c>
      <c r="J535" s="3">
        <v>1557536.4572858256</v>
      </c>
      <c r="K535" s="3">
        <f t="shared" si="18"/>
        <v>3878279.4788242038</v>
      </c>
      <c r="L535" s="3">
        <f>IFERROR(INDEX('CHIRP Payment Calc'!K:K,MATCH(A:A,'CHIRP Payment Calc'!A:A,0)),0)</f>
        <v>5656918.7782739243</v>
      </c>
      <c r="M535" s="3">
        <f t="shared" si="19"/>
        <v>-1778639.2994497204</v>
      </c>
    </row>
    <row r="536" spans="1:13">
      <c r="A536" s="9" t="e">
        <v>#N/A</v>
      </c>
      <c r="B536" s="9" t="s">
        <v>1366</v>
      </c>
      <c r="C536" s="9" t="s">
        <v>1550</v>
      </c>
      <c r="D536" s="4" t="s">
        <v>2250</v>
      </c>
      <c r="E536" s="14" t="e">
        <v>#N/A</v>
      </c>
      <c r="F536" s="14" t="e">
        <v>#N/A</v>
      </c>
      <c r="G536" s="14" t="e">
        <v>#N/A</v>
      </c>
      <c r="H536" s="9" t="s">
        <v>2249</v>
      </c>
      <c r="I536" s="3">
        <v>0</v>
      </c>
      <c r="J536" s="3">
        <v>0</v>
      </c>
      <c r="K536" s="3">
        <f t="shared" si="18"/>
        <v>0</v>
      </c>
      <c r="L536" s="3">
        <f>IFERROR(INDEX('CHIRP Payment Calc'!K:K,MATCH(A:A,'CHIRP Payment Calc'!A:A,0)),0)</f>
        <v>0</v>
      </c>
      <c r="M536" s="3">
        <f t="shared" si="19"/>
        <v>0</v>
      </c>
    </row>
    <row r="537" spans="1:13">
      <c r="A537" s="9" t="s">
        <v>1078</v>
      </c>
      <c r="B537" s="9" t="s">
        <v>1366</v>
      </c>
      <c r="C537" s="9" t="s">
        <v>1550</v>
      </c>
      <c r="D537" s="4" t="s">
        <v>1079</v>
      </c>
      <c r="E537" s="14" t="s">
        <v>1079</v>
      </c>
      <c r="F537" s="14" t="s">
        <v>688</v>
      </c>
      <c r="G537" s="14" t="s">
        <v>1078</v>
      </c>
      <c r="H537" s="9" t="s">
        <v>2248</v>
      </c>
      <c r="I537" s="3">
        <v>3255546.4834144278</v>
      </c>
      <c r="J537" s="3">
        <v>2996347.4560434143</v>
      </c>
      <c r="K537" s="3">
        <f t="shared" si="18"/>
        <v>6251893.9394578421</v>
      </c>
      <c r="L537" s="3">
        <f>IFERROR(INDEX('CHIRP Payment Calc'!K:K,MATCH(A:A,'CHIRP Payment Calc'!A:A,0)),0)</f>
        <v>6592849.2648723554</v>
      </c>
      <c r="M537" s="3">
        <f t="shared" si="19"/>
        <v>-340955.32541451324</v>
      </c>
    </row>
    <row r="538" spans="1:13">
      <c r="A538" s="9" t="s">
        <v>686</v>
      </c>
      <c r="B538" s="9" t="s">
        <v>1366</v>
      </c>
      <c r="C538" s="9" t="s">
        <v>1550</v>
      </c>
      <c r="D538" s="4" t="s">
        <v>687</v>
      </c>
      <c r="E538" s="14" t="s">
        <v>687</v>
      </c>
      <c r="F538" s="14" t="s">
        <v>688</v>
      </c>
      <c r="G538" s="14" t="s">
        <v>686</v>
      </c>
      <c r="H538" s="9" t="s">
        <v>2248</v>
      </c>
      <c r="I538" s="3">
        <v>30855.25899366448</v>
      </c>
      <c r="J538" s="3">
        <v>5794.0707089625084</v>
      </c>
      <c r="K538" s="3">
        <f t="shared" si="18"/>
        <v>36649.329702626987</v>
      </c>
      <c r="L538" s="3">
        <f>IFERROR(INDEX('CHIRP Payment Calc'!K:K,MATCH(A:A,'CHIRP Payment Calc'!A:A,0)),0)</f>
        <v>0</v>
      </c>
      <c r="M538" s="3">
        <f t="shared" si="19"/>
        <v>36649.329702626987</v>
      </c>
    </row>
    <row r="539" spans="1:13">
      <c r="A539" s="9" t="s">
        <v>917</v>
      </c>
      <c r="B539" s="9" t="s">
        <v>1366</v>
      </c>
      <c r="C539" s="9" t="s">
        <v>1559</v>
      </c>
      <c r="D539" s="4" t="s">
        <v>918</v>
      </c>
      <c r="E539" s="14" t="s">
        <v>918</v>
      </c>
      <c r="F539" s="14" t="s">
        <v>919</v>
      </c>
      <c r="G539" s="14" t="s">
        <v>917</v>
      </c>
      <c r="H539" s="9" t="s">
        <v>2247</v>
      </c>
      <c r="I539" s="3">
        <v>20138276.558540389</v>
      </c>
      <c r="J539" s="3">
        <v>22250804.680319209</v>
      </c>
      <c r="K539" s="3">
        <f t="shared" si="18"/>
        <v>42389081.238859594</v>
      </c>
      <c r="L539" s="3">
        <f>IFERROR(INDEX('CHIRP Payment Calc'!K:K,MATCH(A:A,'CHIRP Payment Calc'!A:A,0)),0)</f>
        <v>52633509.052552886</v>
      </c>
      <c r="M539" s="3">
        <f t="shared" si="19"/>
        <v>-10244427.813693292</v>
      </c>
    </row>
    <row r="540" spans="1:13">
      <c r="A540" s="9" t="s">
        <v>392</v>
      </c>
      <c r="C540" s="9" t="s">
        <v>1644</v>
      </c>
      <c r="D540" s="4" t="s">
        <v>393</v>
      </c>
      <c r="E540" s="14" t="s">
        <v>393</v>
      </c>
      <c r="F540" s="14" t="s">
        <v>394</v>
      </c>
      <c r="G540" s="14" t="s">
        <v>392</v>
      </c>
      <c r="H540" s="9" t="s">
        <v>2246</v>
      </c>
      <c r="I540" s="3">
        <v>65027454.904037446</v>
      </c>
      <c r="J540" s="3">
        <v>730854.56117207848</v>
      </c>
      <c r="K540" s="3">
        <f t="shared" si="18"/>
        <v>65758309.465209521</v>
      </c>
      <c r="L540" s="3">
        <f>IFERROR(INDEX('CHIRP Payment Calc'!K:K,MATCH(A:A,'CHIRP Payment Calc'!A:A,0)),0)</f>
        <v>83809907.884486213</v>
      </c>
      <c r="M540" s="3">
        <f t="shared" si="19"/>
        <v>-18051598.419276692</v>
      </c>
    </row>
    <row r="541" spans="1:13">
      <c r="A541" s="9" t="s">
        <v>1199</v>
      </c>
      <c r="C541" s="9" t="s">
        <v>2236</v>
      </c>
      <c r="D541" s="4" t="s">
        <v>1200</v>
      </c>
      <c r="E541" s="14" t="s">
        <v>1200</v>
      </c>
      <c r="F541" s="14" t="s">
        <v>1201</v>
      </c>
      <c r="G541" s="14" t="s">
        <v>1199</v>
      </c>
      <c r="H541" s="9" t="s">
        <v>2245</v>
      </c>
      <c r="I541" s="3">
        <v>0</v>
      </c>
      <c r="J541" s="3">
        <v>0</v>
      </c>
      <c r="K541" s="3">
        <f t="shared" si="18"/>
        <v>0</v>
      </c>
      <c r="L541" s="3">
        <f>IFERROR(INDEX('CHIRP Payment Calc'!K:K,MATCH(A:A,'CHIRP Payment Calc'!A:A,0)),0)</f>
        <v>0</v>
      </c>
      <c r="M541" s="3">
        <f t="shared" si="19"/>
        <v>0</v>
      </c>
    </row>
    <row r="542" spans="1:13">
      <c r="A542" s="9" t="s">
        <v>1212</v>
      </c>
      <c r="C542" s="9" t="s">
        <v>2236</v>
      </c>
      <c r="D542" s="4" t="s">
        <v>1213</v>
      </c>
      <c r="E542" s="14" t="s">
        <v>1213</v>
      </c>
      <c r="F542" s="14" t="s">
        <v>1214</v>
      </c>
      <c r="G542" s="14" t="s">
        <v>1212</v>
      </c>
      <c r="H542" s="9" t="s">
        <v>2244</v>
      </c>
      <c r="I542" s="3">
        <v>817353.87719957333</v>
      </c>
      <c r="J542" s="3">
        <v>0</v>
      </c>
      <c r="K542" s="3">
        <f t="shared" si="18"/>
        <v>817353.87719957333</v>
      </c>
      <c r="L542" s="3">
        <f>IFERROR(INDEX('CHIRP Payment Calc'!K:K,MATCH(A:A,'CHIRP Payment Calc'!A:A,0)),0)</f>
        <v>1149780.8060350846</v>
      </c>
      <c r="M542" s="3">
        <f t="shared" si="19"/>
        <v>-332426.92883551132</v>
      </c>
    </row>
    <row r="543" spans="1:13">
      <c r="A543" s="9" t="s">
        <v>1328</v>
      </c>
      <c r="C543" s="9" t="s">
        <v>2236</v>
      </c>
      <c r="D543" s="4" t="s">
        <v>1329</v>
      </c>
      <c r="E543" s="14" t="s">
        <v>1329</v>
      </c>
      <c r="F543" s="14" t="s">
        <v>1330</v>
      </c>
      <c r="G543" s="14" t="s">
        <v>1328</v>
      </c>
      <c r="H543" s="9" t="s">
        <v>2243</v>
      </c>
      <c r="I543" s="3">
        <v>3394.6981970891288</v>
      </c>
      <c r="J543" s="3">
        <v>0</v>
      </c>
      <c r="K543" s="3">
        <f t="shared" si="18"/>
        <v>3394.6981970891288</v>
      </c>
      <c r="L543" s="3">
        <f>IFERROR(INDEX('CHIRP Payment Calc'!K:K,MATCH(A:A,'CHIRP Payment Calc'!A:A,0)),0)</f>
        <v>0</v>
      </c>
      <c r="M543" s="3">
        <f t="shared" si="19"/>
        <v>3394.6981970891288</v>
      </c>
    </row>
    <row r="544" spans="1:13">
      <c r="A544" s="9" t="s">
        <v>1304</v>
      </c>
      <c r="C544" s="9" t="s">
        <v>2236</v>
      </c>
      <c r="D544" s="4" t="s">
        <v>1305</v>
      </c>
      <c r="E544" s="14" t="s">
        <v>1305</v>
      </c>
      <c r="F544" s="14" t="s">
        <v>1306</v>
      </c>
      <c r="G544" s="14" t="s">
        <v>1304</v>
      </c>
      <c r="H544" s="9" t="s">
        <v>2242</v>
      </c>
      <c r="I544" s="3">
        <v>81422.723974489854</v>
      </c>
      <c r="J544" s="3">
        <v>0</v>
      </c>
      <c r="K544" s="3">
        <f t="shared" si="18"/>
        <v>81422.723974489854</v>
      </c>
      <c r="L544" s="3">
        <f>IFERROR(INDEX('CHIRP Payment Calc'!K:K,MATCH(A:A,'CHIRP Payment Calc'!A:A,0)),0)</f>
        <v>287656.94654993247</v>
      </c>
      <c r="M544" s="3">
        <f t="shared" si="19"/>
        <v>-206234.22257544263</v>
      </c>
    </row>
    <row r="545" spans="1:13">
      <c r="A545" s="9" t="s">
        <v>1244</v>
      </c>
      <c r="C545" s="9" t="s">
        <v>2236</v>
      </c>
      <c r="D545" s="4" t="s">
        <v>1245</v>
      </c>
      <c r="E545" s="14" t="s">
        <v>1245</v>
      </c>
      <c r="F545" s="14" t="s">
        <v>1246</v>
      </c>
      <c r="G545" s="14" t="s">
        <v>1244</v>
      </c>
      <c r="H545" s="9" t="s">
        <v>2241</v>
      </c>
      <c r="I545" s="3">
        <v>903440.69420253276</v>
      </c>
      <c r="J545" s="3">
        <v>0</v>
      </c>
      <c r="K545" s="3">
        <f t="shared" si="18"/>
        <v>903440.69420253276</v>
      </c>
      <c r="L545" s="3">
        <f>IFERROR(INDEX('CHIRP Payment Calc'!K:K,MATCH(A:A,'CHIRP Payment Calc'!A:A,0)),0)</f>
        <v>1050741.3786919031</v>
      </c>
      <c r="M545" s="3">
        <f t="shared" si="19"/>
        <v>-147300.68448937032</v>
      </c>
    </row>
    <row r="546" spans="1:13">
      <c r="A546" s="9" t="s">
        <v>1815</v>
      </c>
      <c r="B546" s="9" t="s">
        <v>487</v>
      </c>
      <c r="C546" s="9" t="s">
        <v>222</v>
      </c>
      <c r="D546" s="4" t="s">
        <v>1816</v>
      </c>
      <c r="E546" s="14" t="s">
        <v>1816</v>
      </c>
      <c r="F546" s="14" t="e">
        <v>#N/A</v>
      </c>
      <c r="G546" s="14" t="s">
        <v>1815</v>
      </c>
      <c r="H546" s="9" t="s">
        <v>1814</v>
      </c>
      <c r="I546" s="3">
        <v>123389.88784197367</v>
      </c>
      <c r="J546" s="3">
        <v>1521974.6333284958</v>
      </c>
      <c r="K546" s="3">
        <f t="shared" si="18"/>
        <v>1645364.5211704695</v>
      </c>
      <c r="L546" s="3">
        <f>IFERROR(INDEX('CHIRP Payment Calc'!K:K,MATCH(A:A,'CHIRP Payment Calc'!A:A,0)),0)</f>
        <v>0</v>
      </c>
      <c r="M546" s="3">
        <f t="shared" si="19"/>
        <v>1645364.5211704695</v>
      </c>
    </row>
    <row r="547" spans="1:13">
      <c r="A547" s="9" t="s">
        <v>1310</v>
      </c>
      <c r="C547" s="9" t="s">
        <v>2236</v>
      </c>
      <c r="D547" s="4" t="s">
        <v>1311</v>
      </c>
      <c r="E547" s="14" t="s">
        <v>1311</v>
      </c>
      <c r="F547" s="14" t="s">
        <v>1312</v>
      </c>
      <c r="G547" s="14" t="s">
        <v>1310</v>
      </c>
      <c r="H547" s="9" t="s">
        <v>2238</v>
      </c>
      <c r="I547" s="3">
        <v>31028.228232847614</v>
      </c>
      <c r="J547" s="3">
        <v>0</v>
      </c>
      <c r="K547" s="3">
        <f t="shared" si="18"/>
        <v>31028.228232847614</v>
      </c>
      <c r="L547" s="3">
        <f>IFERROR(INDEX('CHIRP Payment Calc'!K:K,MATCH(A:A,'CHIRP Payment Calc'!A:A,0)),0)</f>
        <v>43367.885513078276</v>
      </c>
      <c r="M547" s="3">
        <f t="shared" si="19"/>
        <v>-12339.657280230662</v>
      </c>
    </row>
    <row r="548" spans="1:13">
      <c r="A548" s="9" t="s">
        <v>1343</v>
      </c>
      <c r="C548" s="9" t="s">
        <v>2236</v>
      </c>
      <c r="D548" s="4" t="s">
        <v>1344</v>
      </c>
      <c r="E548" s="14" t="s">
        <v>1344</v>
      </c>
      <c r="F548" s="14" t="s">
        <v>1345</v>
      </c>
      <c r="G548" s="14" t="s">
        <v>1343</v>
      </c>
      <c r="H548" s="9" t="s">
        <v>2237</v>
      </c>
      <c r="I548" s="3">
        <v>2044717.9495899789</v>
      </c>
      <c r="J548" s="3">
        <v>0</v>
      </c>
      <c r="K548" s="3">
        <f t="shared" si="18"/>
        <v>2044717.9495899789</v>
      </c>
      <c r="L548" s="3">
        <f>IFERROR(INDEX('CHIRP Payment Calc'!K:K,MATCH(A:A,'CHIRP Payment Calc'!A:A,0)),0)</f>
        <v>737881.08162294968</v>
      </c>
      <c r="M548" s="3">
        <f t="shared" si="19"/>
        <v>1306836.8679670291</v>
      </c>
    </row>
    <row r="549" spans="1:13">
      <c r="A549" s="9" t="s">
        <v>1262</v>
      </c>
      <c r="C549" s="9" t="s">
        <v>2236</v>
      </c>
      <c r="D549" s="4" t="s">
        <v>1263</v>
      </c>
      <c r="E549" s="14" t="s">
        <v>1263</v>
      </c>
      <c r="F549" s="14" t="s">
        <v>1264</v>
      </c>
      <c r="G549" s="14" t="s">
        <v>1262</v>
      </c>
      <c r="H549" s="9" t="s">
        <v>2235</v>
      </c>
      <c r="I549" s="3">
        <v>25111.565086278017</v>
      </c>
      <c r="J549" s="3">
        <v>0</v>
      </c>
      <c r="K549" s="3">
        <f t="shared" si="18"/>
        <v>25111.565086278017</v>
      </c>
      <c r="L549" s="3">
        <f>IFERROR(INDEX('CHIRP Payment Calc'!K:K,MATCH(A:A,'CHIRP Payment Calc'!A:A,0)),0)</f>
        <v>0</v>
      </c>
      <c r="M549" s="3">
        <f t="shared" si="19"/>
        <v>25111.565086278017</v>
      </c>
    </row>
    <row r="550" spans="1:13">
      <c r="A550" s="9" t="s">
        <v>1131</v>
      </c>
      <c r="C550" s="9" t="s">
        <v>222</v>
      </c>
      <c r="D550" s="4" t="s">
        <v>1132</v>
      </c>
      <c r="E550" s="14" t="s">
        <v>1132</v>
      </c>
      <c r="F550" s="14" t="s">
        <v>1133</v>
      </c>
      <c r="G550" s="14" t="s">
        <v>1131</v>
      </c>
      <c r="H550" s="9" t="s">
        <v>2234</v>
      </c>
      <c r="I550" s="3">
        <v>2618.5116247494771</v>
      </c>
      <c r="J550" s="3">
        <v>0</v>
      </c>
      <c r="K550" s="3">
        <f t="shared" si="18"/>
        <v>2618.5116247494771</v>
      </c>
      <c r="L550" s="3">
        <f>IFERROR(INDEX('CHIRP Payment Calc'!K:K,MATCH(A:A,'CHIRP Payment Calc'!A:A,0)),0)</f>
        <v>0</v>
      </c>
      <c r="M550" s="3">
        <f t="shared" si="19"/>
        <v>2618.5116247494771</v>
      </c>
    </row>
    <row r="551" spans="1:13">
      <c r="A551" s="9" t="s">
        <v>386</v>
      </c>
      <c r="C551" s="9" t="s">
        <v>222</v>
      </c>
      <c r="D551" s="4" t="s">
        <v>387</v>
      </c>
      <c r="E551" s="14" t="s">
        <v>387</v>
      </c>
      <c r="F551" s="14" t="s">
        <v>388</v>
      </c>
      <c r="G551" s="14" t="s">
        <v>386</v>
      </c>
      <c r="H551" s="9" t="s">
        <v>2233</v>
      </c>
      <c r="I551" s="3">
        <v>2785509.3798224032</v>
      </c>
      <c r="J551" s="3">
        <v>1145325.2619698292</v>
      </c>
      <c r="K551" s="3">
        <f t="shared" si="18"/>
        <v>3930834.6417922322</v>
      </c>
      <c r="L551" s="3">
        <f>IFERROR(INDEX('CHIRP Payment Calc'!K:K,MATCH(A:A,'CHIRP Payment Calc'!A:A,0)),0)</f>
        <v>3806491.511163881</v>
      </c>
      <c r="M551" s="3">
        <f t="shared" si="19"/>
        <v>124343.13062835112</v>
      </c>
    </row>
    <row r="552" spans="1:13">
      <c r="A552" s="9" t="s">
        <v>2145</v>
      </c>
      <c r="C552" s="9" t="s">
        <v>222</v>
      </c>
      <c r="D552" s="4" t="s">
        <v>2144</v>
      </c>
      <c r="E552" s="14" t="s">
        <v>2144</v>
      </c>
      <c r="F552" s="14" t="e">
        <v>#N/A</v>
      </c>
      <c r="G552" s="14" t="s">
        <v>2145</v>
      </c>
      <c r="H552" s="9" t="s">
        <v>2232</v>
      </c>
      <c r="I552" s="3">
        <v>0</v>
      </c>
      <c r="J552" s="3">
        <v>0</v>
      </c>
      <c r="K552" s="3">
        <f t="shared" si="18"/>
        <v>0</v>
      </c>
      <c r="L552" s="3">
        <f>IFERROR(INDEX('CHIRP Payment Calc'!K:K,MATCH(A:A,'CHIRP Payment Calc'!A:A,0)),0)</f>
        <v>0</v>
      </c>
      <c r="M552" s="3">
        <f t="shared" si="19"/>
        <v>0</v>
      </c>
    </row>
    <row r="553" spans="1:13">
      <c r="A553" s="9" t="s">
        <v>1727</v>
      </c>
      <c r="C553" s="9" t="s">
        <v>222</v>
      </c>
      <c r="D553" s="4" t="s">
        <v>1729</v>
      </c>
      <c r="E553" s="14" t="s">
        <v>1729</v>
      </c>
      <c r="F553" s="14" t="s">
        <v>2203</v>
      </c>
      <c r="G553" s="14" t="s">
        <v>1727</v>
      </c>
      <c r="H553" s="9" t="s">
        <v>2203</v>
      </c>
      <c r="I553" s="3">
        <v>222649.78663678007</v>
      </c>
      <c r="J553" s="3">
        <v>173178.57560394178</v>
      </c>
      <c r="K553" s="3">
        <f t="shared" si="18"/>
        <v>395828.36224072182</v>
      </c>
      <c r="L553" s="3">
        <f>IFERROR(INDEX('CHIRP Payment Calc'!K:K,MATCH(A:A,'CHIRP Payment Calc'!A:A,0)),0)</f>
        <v>321926.47050417098</v>
      </c>
      <c r="M553" s="3">
        <f t="shared" si="19"/>
        <v>73901.891736550839</v>
      </c>
    </row>
    <row r="554" spans="1:13">
      <c r="A554" s="9" t="s">
        <v>1028</v>
      </c>
      <c r="C554" s="9" t="s">
        <v>222</v>
      </c>
      <c r="D554" s="4" t="s">
        <v>1029</v>
      </c>
      <c r="E554" s="14" t="s">
        <v>1029</v>
      </c>
      <c r="F554" s="14" t="s">
        <v>1030</v>
      </c>
      <c r="G554" s="14" t="s">
        <v>1028</v>
      </c>
      <c r="H554" s="9" t="s">
        <v>2231</v>
      </c>
      <c r="I554" s="3">
        <v>16932358.270591531</v>
      </c>
      <c r="J554" s="3">
        <v>4334778.085447778</v>
      </c>
      <c r="K554" s="3">
        <f t="shared" si="18"/>
        <v>21267136.356039308</v>
      </c>
      <c r="L554" s="3">
        <f>IFERROR(INDEX('CHIRP Payment Calc'!K:K,MATCH(A:A,'CHIRP Payment Calc'!A:A,0)),0)</f>
        <v>22763595.338812839</v>
      </c>
      <c r="M554" s="3">
        <f t="shared" si="19"/>
        <v>-1496458.9827735312</v>
      </c>
    </row>
    <row r="555" spans="1:13">
      <c r="A555" s="9" t="s">
        <v>1385</v>
      </c>
      <c r="C555" s="9" t="s">
        <v>222</v>
      </c>
      <c r="D555" s="4" t="s">
        <v>2230</v>
      </c>
      <c r="E555" s="14" t="s">
        <v>2230</v>
      </c>
      <c r="F555" s="14" t="s">
        <v>1386</v>
      </c>
      <c r="G555" s="14" t="s">
        <v>1574</v>
      </c>
      <c r="H555" s="9" t="s">
        <v>2229</v>
      </c>
      <c r="I555" s="3">
        <v>0</v>
      </c>
      <c r="J555" s="3">
        <v>0</v>
      </c>
      <c r="K555" s="3">
        <f t="shared" si="18"/>
        <v>0</v>
      </c>
      <c r="L555" s="3">
        <f>IFERROR(INDEX('CHIRP Payment Calc'!K:K,MATCH(A:A,'CHIRP Payment Calc'!A:A,0)),0)</f>
        <v>0</v>
      </c>
      <c r="M555" s="3">
        <f t="shared" si="19"/>
        <v>0</v>
      </c>
    </row>
    <row r="556" spans="1:13">
      <c r="A556" s="9" t="s">
        <v>22</v>
      </c>
      <c r="C556" s="9" t="s">
        <v>222</v>
      </c>
      <c r="D556" s="4" t="s">
        <v>23</v>
      </c>
      <c r="E556" s="14" t="s">
        <v>23</v>
      </c>
      <c r="F556" s="14" t="s">
        <v>24</v>
      </c>
      <c r="G556" s="14" t="s">
        <v>22</v>
      </c>
      <c r="H556" s="9" t="s">
        <v>2228</v>
      </c>
      <c r="I556" s="3">
        <v>15743.742991872781</v>
      </c>
      <c r="J556" s="3">
        <v>4056.5494736692417</v>
      </c>
      <c r="K556" s="3">
        <f t="shared" si="18"/>
        <v>19800.292465542021</v>
      </c>
      <c r="L556" s="3">
        <f>IFERROR(INDEX('CHIRP Payment Calc'!K:K,MATCH(A:A,'CHIRP Payment Calc'!A:A,0)),0)</f>
        <v>0</v>
      </c>
      <c r="M556" s="3">
        <f t="shared" si="19"/>
        <v>19800.292465542021</v>
      </c>
    </row>
    <row r="557" spans="1:13">
      <c r="A557" s="9" t="s">
        <v>1449</v>
      </c>
      <c r="C557" s="9" t="s">
        <v>222</v>
      </c>
      <c r="D557" s="4" t="s">
        <v>1450</v>
      </c>
      <c r="E557" s="14" t="s">
        <v>1450</v>
      </c>
      <c r="F557" s="14" t="s">
        <v>1451</v>
      </c>
      <c r="G557" s="14" t="s">
        <v>1449</v>
      </c>
      <c r="H557" s="9" t="s">
        <v>1935</v>
      </c>
      <c r="I557" s="3">
        <v>28766.56136446739</v>
      </c>
      <c r="J557" s="3">
        <v>162275.1662102626</v>
      </c>
      <c r="K557" s="3">
        <f t="shared" si="18"/>
        <v>191041.72757473</v>
      </c>
      <c r="L557" s="3">
        <f>IFERROR(INDEX('CHIRP Payment Calc'!K:K,MATCH(A:A,'CHIRP Payment Calc'!A:A,0)),0)</f>
        <v>367727.62360424321</v>
      </c>
      <c r="M557" s="3">
        <f t="shared" si="19"/>
        <v>-176685.89602951321</v>
      </c>
    </row>
    <row r="558" spans="1:13">
      <c r="A558" s="9" t="s">
        <v>1004</v>
      </c>
      <c r="C558" s="9" t="s">
        <v>222</v>
      </c>
      <c r="D558" s="4" t="s">
        <v>1005</v>
      </c>
      <c r="E558" s="14" t="s">
        <v>1005</v>
      </c>
      <c r="F558" s="14" t="s">
        <v>1006</v>
      </c>
      <c r="G558" s="14" t="s">
        <v>1004</v>
      </c>
      <c r="H558" s="9" t="s">
        <v>2227</v>
      </c>
      <c r="I558" s="3">
        <v>1331055.6187002929</v>
      </c>
      <c r="J558" s="3">
        <v>2206060.5999399284</v>
      </c>
      <c r="K558" s="3">
        <f t="shared" si="18"/>
        <v>3537116.2186402213</v>
      </c>
      <c r="L558" s="3">
        <f>IFERROR(INDEX('CHIRP Payment Calc'!K:K,MATCH(A:A,'CHIRP Payment Calc'!A:A,0)),0)</f>
        <v>3722315.0161440484</v>
      </c>
      <c r="M558" s="3">
        <f t="shared" si="19"/>
        <v>-185198.79750382714</v>
      </c>
    </row>
    <row r="559" spans="1:13">
      <c r="A559" s="9" t="s">
        <v>756</v>
      </c>
      <c r="B559" s="9" t="s">
        <v>1489</v>
      </c>
      <c r="C559" s="9" t="s">
        <v>222</v>
      </c>
      <c r="D559" s="4" t="s">
        <v>757</v>
      </c>
      <c r="E559" s="14" t="s">
        <v>757</v>
      </c>
      <c r="F559" s="14" t="s">
        <v>758</v>
      </c>
      <c r="G559" s="14" t="s">
        <v>756</v>
      </c>
      <c r="H559" s="9" t="s">
        <v>2433</v>
      </c>
      <c r="I559" s="3">
        <v>9607063.7296157386</v>
      </c>
      <c r="J559" s="3">
        <f>4880323.28627934+50758.6622542907</f>
        <v>4931081.9485336309</v>
      </c>
      <c r="K559" s="3">
        <f t="shared" si="18"/>
        <v>14538145.678149369</v>
      </c>
      <c r="L559" s="3">
        <f>IFERROR(INDEX('CHIRP Payment Calc'!K:K,MATCH(A:A,'CHIRP Payment Calc'!A:A,0)),0)</f>
        <v>18886095.42626033</v>
      </c>
      <c r="M559" s="3">
        <f t="shared" si="19"/>
        <v>-4347949.7481109612</v>
      </c>
    </row>
    <row r="560" spans="1:13">
      <c r="A560" s="4" t="s">
        <v>1268</v>
      </c>
      <c r="B560" s="15" t="s">
        <v>1530</v>
      </c>
      <c r="C560" s="15" t="s">
        <v>2236</v>
      </c>
      <c r="D560" s="4" t="s">
        <v>1269</v>
      </c>
      <c r="E560" s="14" t="s">
        <v>1269</v>
      </c>
      <c r="F560" s="14" t="e">
        <v>#N/A</v>
      </c>
      <c r="G560" s="14" t="s">
        <v>1269</v>
      </c>
      <c r="H560" s="9" t="s">
        <v>2463</v>
      </c>
      <c r="I560" s="3">
        <v>375884.01350041141</v>
      </c>
      <c r="J560" s="3">
        <v>0</v>
      </c>
      <c r="K560" s="3">
        <f t="shared" si="18"/>
        <v>375884.01350041141</v>
      </c>
      <c r="L560" s="3">
        <f>IFERROR(INDEX('CHIRP Payment Calc'!K:K,MATCH(A:A,'CHIRP Payment Calc'!A:A,0)),0)</f>
        <v>41516.563742992228</v>
      </c>
      <c r="M560" s="3">
        <f t="shared" si="19"/>
        <v>334367.44975741918</v>
      </c>
    </row>
    <row r="561" spans="1:13">
      <c r="A561" s="9" t="s">
        <v>554</v>
      </c>
      <c r="C561" s="9" t="s">
        <v>222</v>
      </c>
      <c r="D561" s="4" t="s">
        <v>555</v>
      </c>
      <c r="E561" s="14" t="s">
        <v>555</v>
      </c>
      <c r="F561" s="14" t="s">
        <v>556</v>
      </c>
      <c r="G561" s="14" t="s">
        <v>554</v>
      </c>
      <c r="H561" s="9" t="s">
        <v>2093</v>
      </c>
      <c r="I561" s="3">
        <v>1676665.5899617579</v>
      </c>
      <c r="J561" s="3">
        <v>580567.06793624139</v>
      </c>
      <c r="K561" s="3">
        <f t="shared" si="18"/>
        <v>2257232.6578979995</v>
      </c>
      <c r="L561" s="3">
        <f>IFERROR(INDEX('CHIRP Payment Calc'!K:K,MATCH(A:A,'CHIRP Payment Calc'!A:A,0)),0)</f>
        <v>2604180.9398836684</v>
      </c>
      <c r="M561" s="3">
        <f t="shared" si="19"/>
        <v>-346948.28198566893</v>
      </c>
    </row>
    <row r="562" spans="1:13">
      <c r="A562" s="9" t="s">
        <v>1531</v>
      </c>
      <c r="C562" s="9" t="s">
        <v>222</v>
      </c>
      <c r="D562" s="4" t="s">
        <v>1532</v>
      </c>
      <c r="E562" s="14" t="e">
        <v>#N/A</v>
      </c>
      <c r="F562" s="14" t="e">
        <v>#N/A</v>
      </c>
      <c r="G562" s="14" t="e">
        <v>#N/A</v>
      </c>
      <c r="H562" s="9" t="s">
        <v>2226</v>
      </c>
      <c r="I562" s="3">
        <v>0</v>
      </c>
      <c r="J562" s="3">
        <v>0</v>
      </c>
      <c r="K562" s="3">
        <f t="shared" si="18"/>
        <v>0</v>
      </c>
      <c r="L562" s="3">
        <f>IFERROR(INDEX('CHIRP Payment Calc'!K:K,MATCH(A:A,'CHIRP Payment Calc'!A:A,0)),0)</f>
        <v>0</v>
      </c>
      <c r="M562" s="3">
        <f t="shared" si="19"/>
        <v>0</v>
      </c>
    </row>
    <row r="563" spans="1:13">
      <c r="A563" s="9" t="s">
        <v>1418</v>
      </c>
      <c r="C563" s="9" t="s">
        <v>222</v>
      </c>
      <c r="D563" s="4" t="s">
        <v>1419</v>
      </c>
      <c r="E563" s="14" t="s">
        <v>1419</v>
      </c>
      <c r="F563" s="14" t="s">
        <v>1420</v>
      </c>
      <c r="G563" s="14" t="s">
        <v>1418</v>
      </c>
      <c r="H563" s="9" t="s">
        <v>2225</v>
      </c>
      <c r="I563" s="3">
        <v>65513.582849327293</v>
      </c>
      <c r="J563" s="3">
        <v>99537.770837421791</v>
      </c>
      <c r="K563" s="3">
        <f t="shared" si="18"/>
        <v>165051.35368674909</v>
      </c>
      <c r="L563" s="3">
        <f>IFERROR(INDEX('CHIRP Payment Calc'!K:K,MATCH(A:A,'CHIRP Payment Calc'!A:A,0)),0)</f>
        <v>178243.08686679372</v>
      </c>
      <c r="M563" s="3">
        <f t="shared" si="19"/>
        <v>-13191.733180044626</v>
      </c>
    </row>
    <row r="564" spans="1:13">
      <c r="A564" s="9" t="s">
        <v>2223</v>
      </c>
      <c r="C564" s="9" t="s">
        <v>222</v>
      </c>
      <c r="D564" s="4" t="s">
        <v>2224</v>
      </c>
      <c r="E564" s="14" t="s">
        <v>2224</v>
      </c>
      <c r="F564" s="14" t="e">
        <v>#N/A</v>
      </c>
      <c r="G564" s="14" t="s">
        <v>2223</v>
      </c>
      <c r="H564" s="9" t="s">
        <v>2222</v>
      </c>
      <c r="I564" s="3">
        <v>0</v>
      </c>
      <c r="J564" s="3">
        <v>0</v>
      </c>
      <c r="K564" s="3">
        <f t="shared" si="18"/>
        <v>0</v>
      </c>
      <c r="L564" s="3">
        <f>IFERROR(INDEX('CHIRP Payment Calc'!K:K,MATCH(A:A,'CHIRP Payment Calc'!A:A,0)),0)</f>
        <v>0</v>
      </c>
      <c r="M564" s="3">
        <f t="shared" si="19"/>
        <v>0</v>
      </c>
    </row>
    <row r="565" spans="1:13">
      <c r="A565" s="9" t="s">
        <v>1034</v>
      </c>
      <c r="C565" s="9" t="s">
        <v>222</v>
      </c>
      <c r="D565" s="4" t="s">
        <v>1035</v>
      </c>
      <c r="E565" s="14" t="s">
        <v>1035</v>
      </c>
      <c r="F565" s="14" t="s">
        <v>1036</v>
      </c>
      <c r="G565" s="14" t="s">
        <v>1034</v>
      </c>
      <c r="H565" s="9" t="s">
        <v>2221</v>
      </c>
      <c r="I565" s="3">
        <v>1645780.0598209491</v>
      </c>
      <c r="J565" s="3">
        <v>2164818.9870330691</v>
      </c>
      <c r="K565" s="3">
        <f t="shared" si="18"/>
        <v>3810599.0468540182</v>
      </c>
      <c r="L565" s="3">
        <f>IFERROR(INDEX('CHIRP Payment Calc'!K:K,MATCH(A:A,'CHIRP Payment Calc'!A:A,0)),0)</f>
        <v>5099611.2308324799</v>
      </c>
      <c r="M565" s="3">
        <f t="shared" si="19"/>
        <v>-1289012.1839784617</v>
      </c>
    </row>
    <row r="566" spans="1:13">
      <c r="A566" s="9" t="s">
        <v>1379</v>
      </c>
      <c r="C566" s="9" t="s">
        <v>222</v>
      </c>
      <c r="D566" s="4" t="s">
        <v>1380</v>
      </c>
      <c r="E566" s="14" t="s">
        <v>1380</v>
      </c>
      <c r="F566" s="14" t="s">
        <v>1381</v>
      </c>
      <c r="G566" s="14" t="s">
        <v>1379</v>
      </c>
      <c r="H566" s="9" t="s">
        <v>2220</v>
      </c>
      <c r="I566" s="3">
        <v>0</v>
      </c>
      <c r="J566" s="3">
        <v>0</v>
      </c>
      <c r="K566" s="3">
        <f t="shared" si="18"/>
        <v>0</v>
      </c>
      <c r="L566" s="3">
        <f>IFERROR(INDEX('CHIRP Payment Calc'!K:K,MATCH(A:A,'CHIRP Payment Calc'!A:A,0)),0)</f>
        <v>0</v>
      </c>
      <c r="M566" s="3">
        <f t="shared" si="19"/>
        <v>0</v>
      </c>
    </row>
    <row r="567" spans="1:13">
      <c r="A567" s="9" t="s">
        <v>1031</v>
      </c>
      <c r="C567" s="9" t="s">
        <v>222</v>
      </c>
      <c r="D567" s="4" t="s">
        <v>1032</v>
      </c>
      <c r="E567" s="14" t="s">
        <v>1032</v>
      </c>
      <c r="F567" s="14" t="s">
        <v>1033</v>
      </c>
      <c r="G567" s="14" t="s">
        <v>1031</v>
      </c>
      <c r="H567" s="9" t="s">
        <v>2219</v>
      </c>
      <c r="I567" s="3">
        <v>2982350.3599278196</v>
      </c>
      <c r="J567" s="3">
        <v>2206601.0631567515</v>
      </c>
      <c r="K567" s="3">
        <f t="shared" si="18"/>
        <v>5188951.423084571</v>
      </c>
      <c r="L567" s="3">
        <f>IFERROR(INDEX('CHIRP Payment Calc'!K:K,MATCH(A:A,'CHIRP Payment Calc'!A:A,0)),0)</f>
        <v>5676266.6430794634</v>
      </c>
      <c r="M567" s="3">
        <f t="shared" si="19"/>
        <v>-487315.21999489237</v>
      </c>
    </row>
    <row r="568" spans="1:13">
      <c r="A568" s="9" t="s">
        <v>1065</v>
      </c>
      <c r="C568" s="9" t="s">
        <v>222</v>
      </c>
      <c r="D568" s="4" t="s">
        <v>1066</v>
      </c>
      <c r="E568" s="14" t="s">
        <v>1066</v>
      </c>
      <c r="F568" s="14" t="s">
        <v>1067</v>
      </c>
      <c r="G568" s="14" t="s">
        <v>1065</v>
      </c>
      <c r="H568" s="9" t="s">
        <v>2218</v>
      </c>
      <c r="I568" s="3">
        <v>16665152.290954616</v>
      </c>
      <c r="J568" s="3">
        <v>2662132.4396368046</v>
      </c>
      <c r="K568" s="3">
        <f t="shared" si="18"/>
        <v>19327284.73059142</v>
      </c>
      <c r="L568" s="3">
        <f>IFERROR(INDEX('CHIRP Payment Calc'!K:K,MATCH(A:A,'CHIRP Payment Calc'!A:A,0)),0)</f>
        <v>16665917.691678111</v>
      </c>
      <c r="M568" s="3">
        <f t="shared" si="19"/>
        <v>2661367.0389133096</v>
      </c>
    </row>
    <row r="569" spans="1:13">
      <c r="A569" s="9" t="s">
        <v>1059</v>
      </c>
      <c r="C569" s="9" t="s">
        <v>222</v>
      </c>
      <c r="D569" s="4" t="s">
        <v>1060</v>
      </c>
      <c r="E569" s="14" t="s">
        <v>1060</v>
      </c>
      <c r="F569" s="14" t="s">
        <v>1061</v>
      </c>
      <c r="G569" s="14" t="s">
        <v>1059</v>
      </c>
      <c r="H569" s="9" t="s">
        <v>2217</v>
      </c>
      <c r="I569" s="3">
        <v>2250614.3770119292</v>
      </c>
      <c r="J569" s="3">
        <v>1163221.3661406008</v>
      </c>
      <c r="K569" s="3">
        <f t="shared" si="18"/>
        <v>3413835.7431525299</v>
      </c>
      <c r="L569" s="3">
        <f>IFERROR(INDEX('CHIRP Payment Calc'!K:K,MATCH(A:A,'CHIRP Payment Calc'!A:A,0)),0)</f>
        <v>3073712.1065458069</v>
      </c>
      <c r="M569" s="3">
        <f t="shared" si="19"/>
        <v>340123.63660672307</v>
      </c>
    </row>
    <row r="570" spans="1:13">
      <c r="A570" s="9" t="s">
        <v>1062</v>
      </c>
      <c r="C570" s="9" t="s">
        <v>222</v>
      </c>
      <c r="D570" s="4" t="s">
        <v>1063</v>
      </c>
      <c r="E570" s="14" t="s">
        <v>1063</v>
      </c>
      <c r="F570" s="14" t="s">
        <v>1064</v>
      </c>
      <c r="G570" s="14" t="s">
        <v>1062</v>
      </c>
      <c r="H570" s="9" t="s">
        <v>2216</v>
      </c>
      <c r="I570" s="3">
        <v>4706961.2476003543</v>
      </c>
      <c r="J570" s="3">
        <v>5943889.0146941608</v>
      </c>
      <c r="K570" s="3">
        <f t="shared" si="18"/>
        <v>10650850.262294516</v>
      </c>
      <c r="L570" s="3">
        <f>IFERROR(INDEX('CHIRP Payment Calc'!K:K,MATCH(A:A,'CHIRP Payment Calc'!A:A,0)),0)</f>
        <v>10900385.824946757</v>
      </c>
      <c r="M570" s="3">
        <f t="shared" si="19"/>
        <v>-249535.56265224144</v>
      </c>
    </row>
    <row r="571" spans="1:13">
      <c r="A571" s="9" t="s">
        <v>1056</v>
      </c>
      <c r="C571" s="9" t="s">
        <v>222</v>
      </c>
      <c r="D571" s="4" t="s">
        <v>1057</v>
      </c>
      <c r="E571" s="14" t="s">
        <v>1057</v>
      </c>
      <c r="F571" s="14" t="s">
        <v>1058</v>
      </c>
      <c r="G571" s="14" t="s">
        <v>1056</v>
      </c>
      <c r="H571" s="9" t="s">
        <v>2215</v>
      </c>
      <c r="I571" s="3">
        <v>19514412.645020399</v>
      </c>
      <c r="J571" s="3">
        <v>5969971.0816532839</v>
      </c>
      <c r="K571" s="3">
        <f t="shared" si="18"/>
        <v>25484383.726673685</v>
      </c>
      <c r="L571" s="3">
        <f>IFERROR(INDEX('CHIRP Payment Calc'!K:K,MATCH(A:A,'CHIRP Payment Calc'!A:A,0)),0)</f>
        <v>20858751.086524107</v>
      </c>
      <c r="M571" s="3">
        <f t="shared" si="19"/>
        <v>4625632.6401495785</v>
      </c>
    </row>
    <row r="572" spans="1:13">
      <c r="A572" s="9" t="s">
        <v>389</v>
      </c>
      <c r="C572" s="9" t="s">
        <v>222</v>
      </c>
      <c r="D572" s="4" t="s">
        <v>390</v>
      </c>
      <c r="E572" s="14" t="s">
        <v>390</v>
      </c>
      <c r="F572" s="14" t="s">
        <v>391</v>
      </c>
      <c r="G572" s="14" t="s">
        <v>389</v>
      </c>
      <c r="H572" s="9" t="s">
        <v>2214</v>
      </c>
      <c r="I572" s="3">
        <v>249768.9086501569</v>
      </c>
      <c r="J572" s="3">
        <v>135924.56019974148</v>
      </c>
      <c r="K572" s="3">
        <f t="shared" si="18"/>
        <v>385693.46884989837</v>
      </c>
      <c r="L572" s="3">
        <f>IFERROR(INDEX('CHIRP Payment Calc'!K:K,MATCH(A:A,'CHIRP Payment Calc'!A:A,0)),0)</f>
        <v>405720.95793616527</v>
      </c>
      <c r="M572" s="3">
        <f t="shared" si="19"/>
        <v>-20027.489086266898</v>
      </c>
    </row>
    <row r="573" spans="1:13">
      <c r="A573" s="9" t="s">
        <v>294</v>
      </c>
      <c r="C573" s="9" t="s">
        <v>222</v>
      </c>
      <c r="D573" s="4" t="s">
        <v>295</v>
      </c>
      <c r="E573" s="14" t="s">
        <v>295</v>
      </c>
      <c r="F573" s="14" t="s">
        <v>296</v>
      </c>
      <c r="G573" s="14" t="s">
        <v>294</v>
      </c>
      <c r="H573" s="9" t="s">
        <v>2213</v>
      </c>
      <c r="I573" s="3">
        <v>0</v>
      </c>
      <c r="J573" s="3">
        <v>0</v>
      </c>
      <c r="K573" s="3">
        <f t="shared" si="18"/>
        <v>0</v>
      </c>
      <c r="L573" s="3">
        <f>IFERROR(INDEX('CHIRP Payment Calc'!K:K,MATCH(A:A,'CHIRP Payment Calc'!A:A,0)),0)</f>
        <v>0</v>
      </c>
      <c r="M573" s="3">
        <f t="shared" si="19"/>
        <v>0</v>
      </c>
    </row>
    <row r="574" spans="1:13">
      <c r="A574" s="9" t="s">
        <v>1561</v>
      </c>
      <c r="C574" s="9" t="s">
        <v>222</v>
      </c>
      <c r="D574" s="4" t="s">
        <v>2139</v>
      </c>
      <c r="E574" s="14" t="s">
        <v>2139</v>
      </c>
      <c r="F574" s="14" t="s">
        <v>834</v>
      </c>
      <c r="G574" s="14" t="s">
        <v>1561</v>
      </c>
      <c r="H574" s="9" t="s">
        <v>2212</v>
      </c>
      <c r="I574" s="3">
        <v>1891910.5053131003</v>
      </c>
      <c r="J574" s="3">
        <v>879275.03707265831</v>
      </c>
      <c r="K574" s="3">
        <f t="shared" si="18"/>
        <v>2771185.5423857588</v>
      </c>
      <c r="L574" s="3">
        <f>IFERROR(INDEX('CHIRP Payment Calc'!K:K,MATCH(A:A,'CHIRP Payment Calc'!A:A,0)),0)</f>
        <v>0</v>
      </c>
      <c r="M574" s="3">
        <f t="shared" si="19"/>
        <v>2771185.5423857588</v>
      </c>
    </row>
    <row r="575" spans="1:13">
      <c r="A575" s="9" t="s">
        <v>1541</v>
      </c>
      <c r="C575" s="9" t="s">
        <v>222</v>
      </c>
      <c r="D575" s="4" t="s">
        <v>1542</v>
      </c>
      <c r="E575" s="14" t="s">
        <v>1542</v>
      </c>
      <c r="F575" s="14" t="s">
        <v>1543</v>
      </c>
      <c r="G575" s="14" t="s">
        <v>1541</v>
      </c>
      <c r="H575" s="9" t="s">
        <v>2211</v>
      </c>
      <c r="I575" s="3">
        <v>991.45533478735865</v>
      </c>
      <c r="J575" s="3">
        <v>0</v>
      </c>
      <c r="K575" s="3">
        <f t="shared" si="18"/>
        <v>991.45533478735865</v>
      </c>
      <c r="L575" s="3">
        <f>IFERROR(INDEX('CHIRP Payment Calc'!K:K,MATCH(A:A,'CHIRP Payment Calc'!A:A,0)),0)</f>
        <v>0</v>
      </c>
      <c r="M575" s="3">
        <f t="shared" si="19"/>
        <v>991.45533478735865</v>
      </c>
    </row>
    <row r="576" spans="1:13">
      <c r="A576" s="9" t="s">
        <v>52</v>
      </c>
      <c r="C576" s="9" t="s">
        <v>222</v>
      </c>
      <c r="D576" s="4" t="s">
        <v>53</v>
      </c>
      <c r="E576" s="14" t="s">
        <v>53</v>
      </c>
      <c r="F576" s="14" t="s">
        <v>54</v>
      </c>
      <c r="G576" s="14" t="s">
        <v>52</v>
      </c>
      <c r="H576" s="9" t="s">
        <v>2210</v>
      </c>
      <c r="I576" s="3">
        <v>0</v>
      </c>
      <c r="J576" s="3">
        <v>0</v>
      </c>
      <c r="K576" s="3">
        <f t="shared" si="18"/>
        <v>0</v>
      </c>
      <c r="L576" s="3">
        <f>IFERROR(INDEX('CHIRP Payment Calc'!K:K,MATCH(A:A,'CHIRP Payment Calc'!A:A,0)),0)</f>
        <v>0</v>
      </c>
      <c r="M576" s="3">
        <f t="shared" si="19"/>
        <v>0</v>
      </c>
    </row>
    <row r="577" spans="1:13">
      <c r="A577" s="9" t="s">
        <v>1025</v>
      </c>
      <c r="C577" s="9" t="s">
        <v>1481</v>
      </c>
      <c r="D577" s="4" t="s">
        <v>1026</v>
      </c>
      <c r="E577" s="14" t="s">
        <v>1026</v>
      </c>
      <c r="F577" s="14" t="s">
        <v>1027</v>
      </c>
      <c r="G577" s="14" t="s">
        <v>1025</v>
      </c>
      <c r="H577" s="9" t="s">
        <v>2209</v>
      </c>
      <c r="I577" s="3">
        <v>424047.79933854361</v>
      </c>
      <c r="J577" s="3">
        <v>402222.19857934234</v>
      </c>
      <c r="K577" s="3">
        <f t="shared" si="18"/>
        <v>826269.99791788589</v>
      </c>
      <c r="L577" s="3">
        <f>IFERROR(INDEX('CHIRP Payment Calc'!K:K,MATCH(A:A,'CHIRP Payment Calc'!A:A,0)),0)</f>
        <v>10962405.165279226</v>
      </c>
      <c r="M577" s="3">
        <f t="shared" si="19"/>
        <v>-10136135.167361341</v>
      </c>
    </row>
    <row r="578" spans="1:13">
      <c r="A578" s="9" t="s">
        <v>323</v>
      </c>
      <c r="C578" s="9" t="s">
        <v>1481</v>
      </c>
      <c r="D578" s="4" t="s">
        <v>324</v>
      </c>
      <c r="E578" s="14" t="s">
        <v>324</v>
      </c>
      <c r="F578" s="14" t="s">
        <v>325</v>
      </c>
      <c r="G578" s="14" t="s">
        <v>323</v>
      </c>
      <c r="H578" s="9" t="s">
        <v>2208</v>
      </c>
      <c r="I578" s="3">
        <v>7742.8441843080445</v>
      </c>
      <c r="J578" s="3">
        <v>33201.494883046958</v>
      </c>
      <c r="K578" s="3">
        <f t="shared" si="18"/>
        <v>40944.339067355002</v>
      </c>
      <c r="L578" s="3">
        <f>IFERROR(INDEX('CHIRP Payment Calc'!K:K,MATCH(A:A,'CHIRP Payment Calc'!A:A,0)),0)</f>
        <v>37783.676362694809</v>
      </c>
      <c r="M578" s="3">
        <f t="shared" si="19"/>
        <v>3160.6627046601934</v>
      </c>
    </row>
    <row r="579" spans="1:13">
      <c r="A579" s="9" t="s">
        <v>1019</v>
      </c>
      <c r="C579" s="9" t="s">
        <v>1481</v>
      </c>
      <c r="D579" s="4" t="s">
        <v>1020</v>
      </c>
      <c r="E579" s="14" t="s">
        <v>1020</v>
      </c>
      <c r="F579" s="14" t="s">
        <v>1021</v>
      </c>
      <c r="G579" s="14" t="s">
        <v>1019</v>
      </c>
      <c r="H579" s="9" t="s">
        <v>2207</v>
      </c>
      <c r="I579" s="3">
        <v>620047.28201076796</v>
      </c>
      <c r="J579" s="3">
        <v>252649.76147978476</v>
      </c>
      <c r="K579" s="3">
        <f t="shared" si="18"/>
        <v>872697.04349055269</v>
      </c>
      <c r="L579" s="3">
        <f>IFERROR(INDEX('CHIRP Payment Calc'!K:K,MATCH(A:A,'CHIRP Payment Calc'!A:A,0)),0)</f>
        <v>1918887.9842211066</v>
      </c>
      <c r="M579" s="3">
        <f t="shared" si="19"/>
        <v>-1046190.9407305539</v>
      </c>
    </row>
    <row r="580" spans="1:13">
      <c r="A580" s="9" t="s">
        <v>374</v>
      </c>
      <c r="C580" s="9" t="s">
        <v>1481</v>
      </c>
      <c r="D580" s="4" t="s">
        <v>375</v>
      </c>
      <c r="E580" s="14" t="s">
        <v>375</v>
      </c>
      <c r="F580" s="14" t="s">
        <v>376</v>
      </c>
      <c r="G580" s="14" t="s">
        <v>374</v>
      </c>
      <c r="H580" s="9" t="s">
        <v>2206</v>
      </c>
      <c r="I580" s="3">
        <v>2253838.4823481245</v>
      </c>
      <c r="J580" s="3">
        <v>1299344.5576933951</v>
      </c>
      <c r="K580" s="3">
        <f t="shared" si="18"/>
        <v>3553183.0400415193</v>
      </c>
      <c r="L580" s="3">
        <f>IFERROR(INDEX('CHIRP Payment Calc'!K:K,MATCH(A:A,'CHIRP Payment Calc'!A:A,0)),0)</f>
        <v>5434411.5757368812</v>
      </c>
      <c r="M580" s="3">
        <f t="shared" si="19"/>
        <v>-1881228.5356953619</v>
      </c>
    </row>
    <row r="581" spans="1:13">
      <c r="A581" s="9" t="s">
        <v>422</v>
      </c>
      <c r="C581" s="9" t="s">
        <v>1481</v>
      </c>
      <c r="D581" s="4" t="s">
        <v>423</v>
      </c>
      <c r="E581" s="14" t="s">
        <v>423</v>
      </c>
      <c r="F581" s="14" t="s">
        <v>424</v>
      </c>
      <c r="G581" s="14" t="s">
        <v>422</v>
      </c>
      <c r="H581" s="9" t="s">
        <v>1689</v>
      </c>
      <c r="I581" s="3">
        <v>304763.92245895922</v>
      </c>
      <c r="J581" s="3">
        <v>444179.79485404113</v>
      </c>
      <c r="K581" s="3">
        <f t="shared" si="18"/>
        <v>748943.71731300035</v>
      </c>
      <c r="L581" s="3">
        <f>IFERROR(INDEX('CHIRP Payment Calc'!K:K,MATCH(A:A,'CHIRP Payment Calc'!A:A,0)),0)</f>
        <v>632810.76168473251</v>
      </c>
      <c r="M581" s="3">
        <f t="shared" si="19"/>
        <v>116132.95562826784</v>
      </c>
    </row>
    <row r="582" spans="1:13">
      <c r="A582" s="9" t="s">
        <v>1007</v>
      </c>
      <c r="C582" s="9" t="s">
        <v>1481</v>
      </c>
      <c r="D582" s="4" t="s">
        <v>1008</v>
      </c>
      <c r="E582" s="14" t="s">
        <v>1008</v>
      </c>
      <c r="F582" s="14" t="s">
        <v>1009</v>
      </c>
      <c r="G582" s="14" t="s">
        <v>1007</v>
      </c>
      <c r="H582" s="9" t="s">
        <v>2205</v>
      </c>
      <c r="I582" s="3">
        <v>361003.78538131935</v>
      </c>
      <c r="J582" s="3">
        <v>251475.22148591786</v>
      </c>
      <c r="K582" s="3">
        <f t="shared" si="18"/>
        <v>612479.00686723716</v>
      </c>
      <c r="L582" s="3">
        <f>IFERROR(INDEX('CHIRP Payment Calc'!K:K,MATCH(A:A,'CHIRP Payment Calc'!A:A,0)),0)</f>
        <v>1681812.612465421</v>
      </c>
      <c r="M582" s="3">
        <f t="shared" si="19"/>
        <v>-1069333.6055981838</v>
      </c>
    </row>
    <row r="583" spans="1:13">
      <c r="A583" s="9" t="s">
        <v>1022</v>
      </c>
      <c r="C583" s="9" t="s">
        <v>1559</v>
      </c>
      <c r="D583" s="4" t="s">
        <v>1023</v>
      </c>
      <c r="E583" s="14" t="s">
        <v>1023</v>
      </c>
      <c r="F583" s="14" t="s">
        <v>1024</v>
      </c>
      <c r="G583" s="14" t="s">
        <v>1022</v>
      </c>
      <c r="H583" s="9" t="s">
        <v>1024</v>
      </c>
      <c r="I583" s="3">
        <v>2679605.6190732233</v>
      </c>
      <c r="J583" s="3">
        <v>10711922.630975118</v>
      </c>
      <c r="K583" s="3">
        <f t="shared" si="18"/>
        <v>13391528.250048341</v>
      </c>
      <c r="L583" s="3">
        <f>IFERROR(INDEX('CHIRP Payment Calc'!K:K,MATCH(A:A,'CHIRP Payment Calc'!A:A,0)),0)</f>
        <v>13005206.084041389</v>
      </c>
      <c r="M583" s="3">
        <f t="shared" si="19"/>
        <v>386322.16600695252</v>
      </c>
    </row>
    <row r="584" spans="1:13">
      <c r="K584" s="2" t="e">
        <f>SUM(K24,K109,K138,K141,K264,K289,K295,K354,#REF!,K435,K468,K515,K546,K559,K560)</f>
        <v>#REF!</v>
      </c>
      <c r="L584" s="2"/>
      <c r="M584" s="2"/>
    </row>
  </sheetData>
  <autoFilter ref="A1:M584" xr:uid="{7F72A074-E1F7-44AA-BD73-B86C8AB8E0BD}">
    <sortState xmlns:xlrd2="http://schemas.microsoft.com/office/spreadsheetml/2017/richdata2" ref="A8:M584">
      <sortCondition ref="D1:D584"/>
    </sortState>
  </autoFilter>
  <conditionalFormatting sqref="H540:H583 E1:F1048576">
    <cfRule type="duplicateValues" dxfId="2" priority="3"/>
  </conditionalFormatting>
  <conditionalFormatting sqref="I540:I583 G1:G104857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55CD6-CA08-45BE-9900-31D84AA3CA13}">
  <dimension ref="A1:E55"/>
  <sheetViews>
    <sheetView workbookViewId="0"/>
  </sheetViews>
  <sheetFormatPr defaultColWidth="8.796875" defaultRowHeight="12.75"/>
  <cols>
    <col min="1" max="1" width="22.5" style="18" customWidth="1"/>
    <col min="2" max="2" width="66" style="20" bestFit="1" customWidth="1"/>
    <col min="3" max="3" width="14.19921875" style="19" bestFit="1" customWidth="1"/>
    <col min="4" max="4" width="11.5" style="19" bestFit="1" customWidth="1"/>
    <col min="5" max="5" width="14.19921875" style="19" bestFit="1" customWidth="1"/>
    <col min="6" max="16384" width="8.796875" style="18"/>
  </cols>
  <sheetData>
    <row r="1" spans="1:5" ht="15">
      <c r="A1" t="s">
        <v>2914</v>
      </c>
      <c r="B1" s="7"/>
      <c r="C1" s="8" t="s">
        <v>2923</v>
      </c>
      <c r="D1" s="8"/>
      <c r="E1" s="8"/>
    </row>
    <row r="2" spans="1:5" ht="15">
      <c r="A2" t="s">
        <v>0</v>
      </c>
      <c r="B2" s="7" t="s">
        <v>2716</v>
      </c>
      <c r="C2" s="8" t="s">
        <v>2924</v>
      </c>
      <c r="D2" s="8" t="s">
        <v>2925</v>
      </c>
      <c r="E2" s="8" t="s">
        <v>2911</v>
      </c>
    </row>
    <row r="3" spans="1:5" ht="30">
      <c r="A3" t="s">
        <v>2801</v>
      </c>
      <c r="B3" s="7" t="s">
        <v>2877</v>
      </c>
      <c r="C3" s="8">
        <v>437092.37999999989</v>
      </c>
      <c r="D3" s="8">
        <v>19898.07</v>
      </c>
      <c r="E3" s="8">
        <v>456990.4499999999</v>
      </c>
    </row>
    <row r="4" spans="1:5" ht="15">
      <c r="A4" t="s">
        <v>1275</v>
      </c>
      <c r="B4" s="7" t="s">
        <v>2296</v>
      </c>
      <c r="C4" s="8">
        <v>2548354.3500000006</v>
      </c>
      <c r="D4" s="8"/>
      <c r="E4" s="8">
        <v>2548354.3500000006</v>
      </c>
    </row>
    <row r="5" spans="1:5" ht="15">
      <c r="A5" t="s">
        <v>2779</v>
      </c>
      <c r="B5" s="7" t="s">
        <v>2878</v>
      </c>
      <c r="C5" s="8">
        <v>315962.28000000003</v>
      </c>
      <c r="D5" s="8"/>
      <c r="E5" s="8">
        <v>315962.28000000003</v>
      </c>
    </row>
    <row r="6" spans="1:5" ht="15">
      <c r="A6" t="s">
        <v>2783</v>
      </c>
      <c r="B6" s="7" t="s">
        <v>2879</v>
      </c>
      <c r="C6" s="8">
        <v>407278.99000000005</v>
      </c>
      <c r="D6" s="8"/>
      <c r="E6" s="8">
        <v>407278.99000000005</v>
      </c>
    </row>
    <row r="7" spans="1:5" ht="15">
      <c r="A7" t="s">
        <v>2785</v>
      </c>
      <c r="B7" s="7" t="s">
        <v>2880</v>
      </c>
      <c r="C7" s="8">
        <v>1170990.22</v>
      </c>
      <c r="D7" s="8"/>
      <c r="E7" s="8">
        <v>1170990.22</v>
      </c>
    </row>
    <row r="8" spans="1:5" ht="15">
      <c r="A8" t="s">
        <v>1231</v>
      </c>
      <c r="B8" s="7" t="s">
        <v>2881</v>
      </c>
      <c r="C8" s="8">
        <v>2248289.4700000002</v>
      </c>
      <c r="D8" s="8">
        <v>14317.25</v>
      </c>
      <c r="E8" s="8">
        <v>2262606.7200000002</v>
      </c>
    </row>
    <row r="9" spans="1:5" ht="15">
      <c r="A9" t="s">
        <v>1259</v>
      </c>
      <c r="B9" s="7" t="s">
        <v>2882</v>
      </c>
      <c r="C9" s="8">
        <v>1926191.569999998</v>
      </c>
      <c r="D9" s="8">
        <v>0</v>
      </c>
      <c r="E9" s="8">
        <v>1926191.569999998</v>
      </c>
    </row>
    <row r="10" spans="1:5" ht="15">
      <c r="A10" t="s">
        <v>2496</v>
      </c>
      <c r="B10" s="7" t="s">
        <v>2883</v>
      </c>
      <c r="C10" s="8">
        <v>437</v>
      </c>
      <c r="D10" s="8"/>
      <c r="E10" s="8">
        <v>437</v>
      </c>
    </row>
    <row r="11" spans="1:5" ht="15">
      <c r="A11" t="s">
        <v>1250</v>
      </c>
      <c r="B11" s="7" t="s">
        <v>2884</v>
      </c>
      <c r="C11" s="8">
        <v>570523.56999999995</v>
      </c>
      <c r="D11" s="8">
        <v>0</v>
      </c>
      <c r="E11" s="8">
        <v>570523.56999999995</v>
      </c>
    </row>
    <row r="12" spans="1:5" ht="15">
      <c r="A12" t="s">
        <v>1340</v>
      </c>
      <c r="B12" s="7" t="s">
        <v>2885</v>
      </c>
      <c r="C12" s="8">
        <v>3818480.3200000012</v>
      </c>
      <c r="D12" s="8"/>
      <c r="E12" s="8">
        <v>3818480.3200000012</v>
      </c>
    </row>
    <row r="13" spans="1:5" ht="15">
      <c r="A13" t="s">
        <v>488</v>
      </c>
      <c r="B13" s="7" t="s">
        <v>2773</v>
      </c>
      <c r="C13" s="8">
        <v>1013911.5800000018</v>
      </c>
      <c r="D13" s="8">
        <v>7800</v>
      </c>
      <c r="E13" s="8">
        <v>1021711.5800000018</v>
      </c>
    </row>
    <row r="14" spans="1:5" ht="15">
      <c r="A14" t="s">
        <v>1310</v>
      </c>
      <c r="B14" s="7" t="s">
        <v>2238</v>
      </c>
      <c r="C14" s="8">
        <v>72506.73</v>
      </c>
      <c r="D14" s="8">
        <v>0</v>
      </c>
      <c r="E14" s="8">
        <v>72506.73</v>
      </c>
    </row>
    <row r="15" spans="1:5" ht="15">
      <c r="A15" t="s">
        <v>2807</v>
      </c>
      <c r="B15" s="7" t="s">
        <v>2886</v>
      </c>
      <c r="C15" s="8">
        <v>4970341.2200000035</v>
      </c>
      <c r="D15" s="8"/>
      <c r="E15" s="8">
        <v>4970341.2200000035</v>
      </c>
    </row>
    <row r="16" spans="1:5" ht="15">
      <c r="A16" t="s">
        <v>1301</v>
      </c>
      <c r="B16" s="7" t="s">
        <v>2887</v>
      </c>
      <c r="C16" s="8">
        <v>1062503.7000000002</v>
      </c>
      <c r="D16" s="8"/>
      <c r="E16" s="8">
        <v>1062503.7000000002</v>
      </c>
    </row>
    <row r="17" spans="1:5" ht="15">
      <c r="A17" t="s">
        <v>1247</v>
      </c>
      <c r="B17" s="7" t="s">
        <v>2770</v>
      </c>
      <c r="C17" s="8">
        <v>91508.66</v>
      </c>
      <c r="D17" s="8"/>
      <c r="E17" s="8">
        <v>91508.66</v>
      </c>
    </row>
    <row r="18" spans="1:5" ht="15">
      <c r="A18" t="s">
        <v>2792</v>
      </c>
      <c r="B18" s="7" t="s">
        <v>2888</v>
      </c>
      <c r="C18" s="8">
        <v>320683.46999999997</v>
      </c>
      <c r="D18" s="8"/>
      <c r="E18" s="8">
        <v>320683.46999999997</v>
      </c>
    </row>
    <row r="19" spans="1:5" ht="15">
      <c r="A19" t="s">
        <v>1354</v>
      </c>
      <c r="B19" s="7" t="s">
        <v>2889</v>
      </c>
      <c r="C19" s="8">
        <v>3628123.6400000062</v>
      </c>
      <c r="D19" s="8">
        <v>14893</v>
      </c>
      <c r="E19" s="8">
        <v>3643016.6400000062</v>
      </c>
    </row>
    <row r="20" spans="1:5" ht="15">
      <c r="A20" t="s">
        <v>2794</v>
      </c>
      <c r="B20" s="7" t="s">
        <v>2890</v>
      </c>
      <c r="C20" s="8">
        <v>264449.07999999996</v>
      </c>
      <c r="D20" s="8"/>
      <c r="E20" s="8">
        <v>264449.07999999996</v>
      </c>
    </row>
    <row r="21" spans="1:5" ht="15">
      <c r="A21" t="s">
        <v>2790</v>
      </c>
      <c r="B21" s="7" t="s">
        <v>2891</v>
      </c>
      <c r="C21" s="8">
        <v>98049.64</v>
      </c>
      <c r="D21" s="8"/>
      <c r="E21" s="8">
        <v>98049.64</v>
      </c>
    </row>
    <row r="22" spans="1:5" ht="15">
      <c r="A22" t="s">
        <v>1313</v>
      </c>
      <c r="B22" s="7" t="s">
        <v>2892</v>
      </c>
      <c r="C22" s="8">
        <v>3365143.350000001</v>
      </c>
      <c r="D22" s="8">
        <v>11886</v>
      </c>
      <c r="E22" s="8">
        <v>3377029.350000001</v>
      </c>
    </row>
    <row r="23" spans="1:5" ht="15">
      <c r="A23" t="s">
        <v>1346</v>
      </c>
      <c r="B23" s="7" t="s">
        <v>2893</v>
      </c>
      <c r="C23" s="8">
        <v>1210661.8199999998</v>
      </c>
      <c r="D23" s="8">
        <v>0</v>
      </c>
      <c r="E23" s="8">
        <v>1210661.8199999998</v>
      </c>
    </row>
    <row r="24" spans="1:5" ht="15">
      <c r="A24" t="s">
        <v>1256</v>
      </c>
      <c r="B24" s="7" t="s">
        <v>2679</v>
      </c>
      <c r="C24" s="8">
        <v>1111272.8500000001</v>
      </c>
      <c r="D24" s="8">
        <v>9100</v>
      </c>
      <c r="E24" s="8">
        <v>1120372.8500000001</v>
      </c>
    </row>
    <row r="25" spans="1:5" ht="15">
      <c r="A25" t="s">
        <v>1349</v>
      </c>
      <c r="B25" s="7" t="s">
        <v>2612</v>
      </c>
      <c r="C25" s="8">
        <v>2629930.9500000002</v>
      </c>
      <c r="D25" s="8">
        <v>0</v>
      </c>
      <c r="E25" s="8">
        <v>2629930.9500000002</v>
      </c>
    </row>
    <row r="26" spans="1:5" ht="15">
      <c r="A26" t="s">
        <v>1262</v>
      </c>
      <c r="B26" s="7" t="s">
        <v>2894</v>
      </c>
      <c r="C26" s="8">
        <v>27366</v>
      </c>
      <c r="D26" s="8">
        <v>14490</v>
      </c>
      <c r="E26" s="8">
        <v>41856</v>
      </c>
    </row>
    <row r="27" spans="1:5" ht="15">
      <c r="A27" t="s">
        <v>1298</v>
      </c>
      <c r="B27" s="7" t="s">
        <v>2895</v>
      </c>
      <c r="C27" s="8">
        <v>604533.33000000019</v>
      </c>
      <c r="D27" s="8">
        <v>0</v>
      </c>
      <c r="E27" s="8">
        <v>604533.33000000019</v>
      </c>
    </row>
    <row r="28" spans="1:5" ht="15">
      <c r="A28" t="s">
        <v>1218</v>
      </c>
      <c r="B28" s="7" t="s">
        <v>2896</v>
      </c>
      <c r="C28" s="8">
        <v>1715268.399999999</v>
      </c>
      <c r="D28" s="8">
        <v>18881.5</v>
      </c>
      <c r="E28" s="8">
        <v>1734149.899999999</v>
      </c>
    </row>
    <row r="29" spans="1:5" ht="15">
      <c r="A29" t="s">
        <v>1228</v>
      </c>
      <c r="B29" s="7" t="s">
        <v>2897</v>
      </c>
      <c r="C29" s="8">
        <v>11121.39</v>
      </c>
      <c r="D29" s="8"/>
      <c r="E29" s="8">
        <v>11121.39</v>
      </c>
    </row>
    <row r="30" spans="1:5" ht="15">
      <c r="A30" t="s">
        <v>1343</v>
      </c>
      <c r="B30" s="7" t="s">
        <v>2898</v>
      </c>
      <c r="C30" s="8">
        <v>1957767.4200000009</v>
      </c>
      <c r="D30" s="8">
        <v>1364</v>
      </c>
      <c r="E30" s="8">
        <v>1959131.4200000009</v>
      </c>
    </row>
    <row r="31" spans="1:5" ht="15">
      <c r="A31" t="s">
        <v>1234</v>
      </c>
      <c r="B31" s="7" t="s">
        <v>2901</v>
      </c>
      <c r="C31" s="8">
        <v>2991661.0399999986</v>
      </c>
      <c r="D31" s="8">
        <v>6884.67</v>
      </c>
      <c r="E31" s="8">
        <v>2998545.7099999986</v>
      </c>
    </row>
    <row r="32" spans="1:5" ht="15">
      <c r="A32" t="s">
        <v>1283</v>
      </c>
      <c r="B32" s="7" t="s">
        <v>2903</v>
      </c>
      <c r="C32" s="8">
        <v>756647.02999999991</v>
      </c>
      <c r="D32" s="8">
        <v>0</v>
      </c>
      <c r="E32" s="8">
        <v>756647.02999999991</v>
      </c>
    </row>
    <row r="33" spans="1:5" ht="15">
      <c r="A33" t="s">
        <v>1215</v>
      </c>
      <c r="B33" s="7" t="s">
        <v>2904</v>
      </c>
      <c r="C33" s="8">
        <v>702451.44</v>
      </c>
      <c r="D33" s="8"/>
      <c r="E33" s="8">
        <v>702451.44</v>
      </c>
    </row>
    <row r="34" spans="1:5" ht="15">
      <c r="A34" t="s">
        <v>2193</v>
      </c>
      <c r="B34" s="7" t="s">
        <v>2204</v>
      </c>
      <c r="C34" s="8">
        <v>641714.65000000014</v>
      </c>
      <c r="D34" s="8"/>
      <c r="E34" s="8">
        <v>641714.65000000014</v>
      </c>
    </row>
    <row r="35" spans="1:5" ht="15">
      <c r="A35" t="s">
        <v>1209</v>
      </c>
      <c r="B35" s="7" t="s">
        <v>2905</v>
      </c>
      <c r="C35" s="8"/>
      <c r="D35" s="8">
        <v>840</v>
      </c>
      <c r="E35" s="8">
        <v>840</v>
      </c>
    </row>
    <row r="36" spans="1:5" ht="15">
      <c r="A36" t="s">
        <v>1272</v>
      </c>
      <c r="B36" s="7" t="s">
        <v>2774</v>
      </c>
      <c r="C36" s="8">
        <v>1320612.6099999996</v>
      </c>
      <c r="D36" s="8"/>
      <c r="E36" s="8">
        <v>1320612.6099999996</v>
      </c>
    </row>
    <row r="37" spans="1:5" ht="15">
      <c r="A37" t="s">
        <v>1304</v>
      </c>
      <c r="B37" s="7" t="s">
        <v>2775</v>
      </c>
      <c r="C37" s="8">
        <v>89829</v>
      </c>
      <c r="D37" s="8">
        <v>3750</v>
      </c>
      <c r="E37" s="8">
        <v>93579</v>
      </c>
    </row>
    <row r="38" spans="1:5" ht="15">
      <c r="A38" t="s">
        <v>1292</v>
      </c>
      <c r="B38" s="7" t="s">
        <v>2902</v>
      </c>
      <c r="C38" s="8"/>
      <c r="D38" s="8">
        <v>1364</v>
      </c>
      <c r="E38" s="8">
        <v>1364</v>
      </c>
    </row>
    <row r="39" spans="1:5" ht="15">
      <c r="A39" t="s">
        <v>1357</v>
      </c>
      <c r="B39" s="7" t="s">
        <v>2900</v>
      </c>
      <c r="C39" s="8">
        <v>901530.47</v>
      </c>
      <c r="D39" s="8">
        <v>4851.5</v>
      </c>
      <c r="E39" s="8">
        <v>906381.97</v>
      </c>
    </row>
    <row r="40" spans="1:5" ht="15">
      <c r="A40" t="s">
        <v>1244</v>
      </c>
      <c r="B40" s="7" t="s">
        <v>2769</v>
      </c>
      <c r="C40" s="8">
        <v>1177958.6800000002</v>
      </c>
      <c r="D40" s="8">
        <v>15500</v>
      </c>
      <c r="E40" s="8">
        <v>1193458.6800000002</v>
      </c>
    </row>
    <row r="41" spans="1:5" ht="15">
      <c r="A41" t="s">
        <v>1212</v>
      </c>
      <c r="B41" s="7" t="s">
        <v>2899</v>
      </c>
      <c r="C41" s="8">
        <v>1169454.43</v>
      </c>
      <c r="D41" s="8">
        <v>900</v>
      </c>
      <c r="E41" s="8">
        <v>1170354.43</v>
      </c>
    </row>
    <row r="42" spans="1:5" ht="15">
      <c r="A42" t="s">
        <v>1265</v>
      </c>
      <c r="B42" s="7" t="s">
        <v>2772</v>
      </c>
      <c r="C42" s="8">
        <v>1418312.6999999979</v>
      </c>
      <c r="D42" s="8">
        <v>3850</v>
      </c>
      <c r="E42" s="8">
        <v>1422162.6999999979</v>
      </c>
    </row>
    <row r="43" spans="1:5" ht="15">
      <c r="A43" t="s">
        <v>1307</v>
      </c>
      <c r="B43" s="7" t="s">
        <v>2776</v>
      </c>
      <c r="C43" s="8">
        <v>3387502.4399999948</v>
      </c>
      <c r="D43" s="8"/>
      <c r="E43" s="8">
        <v>3387502.4399999948</v>
      </c>
    </row>
    <row r="44" spans="1:5" ht="15">
      <c r="A44" t="s">
        <v>1325</v>
      </c>
      <c r="B44" s="7" t="s">
        <v>2805</v>
      </c>
      <c r="C44" s="8"/>
      <c r="D44" s="8">
        <v>3707.13</v>
      </c>
      <c r="E44" s="8">
        <v>3707.13</v>
      </c>
    </row>
    <row r="45" spans="1:5" ht="15">
      <c r="A45" t="s">
        <v>1286</v>
      </c>
      <c r="B45" s="7" t="s">
        <v>2906</v>
      </c>
      <c r="C45" s="8"/>
      <c r="D45" s="8">
        <v>25561.06</v>
      </c>
      <c r="E45" s="8">
        <v>25561.06</v>
      </c>
    </row>
    <row r="46" spans="1:5" ht="15">
      <c r="A46" t="s">
        <v>1322</v>
      </c>
      <c r="B46" s="7" t="s">
        <v>2907</v>
      </c>
      <c r="C46" s="8"/>
      <c r="D46" s="8">
        <v>0</v>
      </c>
      <c r="E46" s="8">
        <v>0</v>
      </c>
    </row>
    <row r="47" spans="1:5" ht="15">
      <c r="A47" t="s">
        <v>1253</v>
      </c>
      <c r="B47" s="7" t="s">
        <v>2771</v>
      </c>
      <c r="C47" s="8">
        <v>39393.939999999995</v>
      </c>
      <c r="D47" s="8">
        <v>0</v>
      </c>
      <c r="E47" s="8">
        <v>39393.939999999995</v>
      </c>
    </row>
    <row r="48" spans="1:5" ht="15">
      <c r="A48" t="s">
        <v>1241</v>
      </c>
      <c r="B48" s="7" t="s">
        <v>2676</v>
      </c>
      <c r="C48" s="8">
        <v>42133.22</v>
      </c>
      <c r="D48" s="8">
        <v>59700</v>
      </c>
      <c r="E48" s="8">
        <v>101833.22</v>
      </c>
    </row>
    <row r="49" spans="1:5" ht="15">
      <c r="A49" t="s">
        <v>1334</v>
      </c>
      <c r="B49" s="7" t="s">
        <v>2777</v>
      </c>
      <c r="C49" s="8">
        <v>3154495.5200000037</v>
      </c>
      <c r="D49" s="8">
        <v>12915</v>
      </c>
      <c r="E49" s="8">
        <v>3167410.5200000037</v>
      </c>
    </row>
    <row r="50" spans="1:5" ht="15">
      <c r="A50" t="s">
        <v>1328</v>
      </c>
      <c r="B50" s="7" t="s">
        <v>2909</v>
      </c>
      <c r="C50" s="8">
        <v>3180</v>
      </c>
      <c r="D50" s="8">
        <v>7875</v>
      </c>
      <c r="E50" s="8">
        <v>11055</v>
      </c>
    </row>
    <row r="51" spans="1:5" ht="15">
      <c r="A51" t="s">
        <v>1402</v>
      </c>
      <c r="B51" s="7" t="s">
        <v>2143</v>
      </c>
      <c r="C51" s="8">
        <v>6779.6100000000006</v>
      </c>
      <c r="D51" s="8">
        <v>0</v>
      </c>
      <c r="E51" s="8">
        <v>6779.6100000000006</v>
      </c>
    </row>
    <row r="52" spans="1:5" ht="15">
      <c r="A52" t="s">
        <v>1331</v>
      </c>
      <c r="B52" s="7" t="s">
        <v>2908</v>
      </c>
      <c r="C52" s="8">
        <v>1773489.8600000008</v>
      </c>
      <c r="D52" s="8">
        <v>7800</v>
      </c>
      <c r="E52" s="8">
        <v>1781289.8600000008</v>
      </c>
    </row>
    <row r="53" spans="1:5" ht="15">
      <c r="A53" t="s">
        <v>1518</v>
      </c>
      <c r="B53" s="7" t="s">
        <v>2581</v>
      </c>
      <c r="C53" s="8">
        <v>723217.89999999979</v>
      </c>
      <c r="D53" s="8"/>
      <c r="E53" s="8">
        <v>723217.89999999979</v>
      </c>
    </row>
    <row r="54" spans="1:5" ht="15">
      <c r="A54" t="s">
        <v>2800</v>
      </c>
      <c r="B54" s="7" t="s">
        <v>2876</v>
      </c>
      <c r="C54" s="8">
        <v>25197.350000000002</v>
      </c>
      <c r="D54" s="8"/>
      <c r="E54" s="8">
        <v>25197.350000000002</v>
      </c>
    </row>
    <row r="55" spans="1:5" ht="15">
      <c r="A55" t="s">
        <v>2911</v>
      </c>
      <c r="B55" s="7"/>
      <c r="C55" s="8">
        <v>57924305.270000003</v>
      </c>
      <c r="D55" s="8">
        <v>268128.18</v>
      </c>
      <c r="E55" s="8">
        <v>58192433.450000003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173BB-5426-4797-8BFD-D48B1398D4E2}">
  <sheetPr>
    <tabColor rgb="FF7030A0"/>
  </sheetPr>
  <dimension ref="A1:I572"/>
  <sheetViews>
    <sheetView workbookViewId="0">
      <selection activeCell="A4" sqref="A4"/>
    </sheetView>
  </sheetViews>
  <sheetFormatPr defaultColWidth="8.796875" defaultRowHeight="15"/>
  <cols>
    <col min="1" max="1" width="20" style="9" customWidth="1"/>
    <col min="2" max="2" width="16.09765625" style="9" customWidth="1"/>
    <col min="3" max="3" width="14" style="9" customWidth="1"/>
    <col min="4" max="4" width="17.19921875" style="9" customWidth="1"/>
    <col min="5" max="5" width="16.3984375" style="9" customWidth="1"/>
    <col min="6" max="7" width="16.19921875" style="9" customWidth="1"/>
    <col min="8" max="8" width="16" style="9" customWidth="1"/>
    <col min="9" max="9" width="16.59765625" style="9" customWidth="1"/>
    <col min="10" max="10" width="16.296875" style="9" customWidth="1"/>
    <col min="11" max="16384" width="8.796875" style="9"/>
  </cols>
  <sheetData>
    <row r="1" spans="1:9" ht="19.5">
      <c r="A1" s="29" t="s">
        <v>3204</v>
      </c>
    </row>
    <row r="2" spans="1:9" ht="15.75" thickBot="1"/>
    <row r="3" spans="1:9">
      <c r="A3" s="59"/>
      <c r="B3" s="62">
        <f t="shared" ref="B3:H3" si="0">SUM(B5:B17)</f>
        <v>6128497516.4401913</v>
      </c>
      <c r="C3" s="62">
        <f t="shared" si="0"/>
        <v>378418399.99158454</v>
      </c>
      <c r="D3" s="62">
        <f t="shared" si="0"/>
        <v>6506915916.4317789</v>
      </c>
      <c r="E3" s="62">
        <f t="shared" si="0"/>
        <v>2761092644.6513281</v>
      </c>
      <c r="F3" s="62">
        <f t="shared" si="0"/>
        <v>1380546322.325664</v>
      </c>
      <c r="G3" s="62">
        <f t="shared" si="0"/>
        <v>1380546322.325664</v>
      </c>
      <c r="H3" s="62">
        <f t="shared" si="0"/>
        <v>1380546322.325664</v>
      </c>
      <c r="I3" s="123"/>
    </row>
    <row r="4" spans="1:9" ht="75">
      <c r="A4" s="63" t="s">
        <v>3</v>
      </c>
      <c r="B4" s="64" t="s">
        <v>3177</v>
      </c>
      <c r="C4" s="64" t="s">
        <v>3178</v>
      </c>
      <c r="D4" s="64" t="s">
        <v>2920</v>
      </c>
      <c r="E4" s="64" t="s">
        <v>3179</v>
      </c>
      <c r="F4" s="64" t="s">
        <v>3180</v>
      </c>
      <c r="G4" s="64" t="s">
        <v>3181</v>
      </c>
      <c r="H4" s="64" t="s">
        <v>3221</v>
      </c>
      <c r="I4" s="65" t="s">
        <v>3219</v>
      </c>
    </row>
    <row r="5" spans="1:9">
      <c r="A5" s="24" t="s">
        <v>487</v>
      </c>
      <c r="B5" s="23">
        <f>SUMIF('CHIRP Payment Calc'!$G:$G,'IGT Commitment Suggestions'!$A5,'CHIRP Payment Calc'!AN:AN)</f>
        <v>506755971.20773578</v>
      </c>
      <c r="C5" s="23">
        <f>SUMIF('CHIRP Payment Calc'!$G:$G,'IGT Commitment Suggestions'!$A5,'CHIRP Payment Calc'!AO:AO)</f>
        <v>31294592.483570118</v>
      </c>
      <c r="D5" s="23">
        <f>SUMIF('CHIRP Payment Calc'!$G:$G,'IGT Commitment Suggestions'!$A5,'CHIRP Payment Calc'!AP:AP)</f>
        <v>538050563.69130599</v>
      </c>
      <c r="E5" s="23">
        <f>SUMIF('CHIRP Payment Calc'!$G:$G,'IGT Commitment Suggestions'!$A5,'CHIRP Payment Calc'!AQ:AQ)</f>
        <v>228312071.79225925</v>
      </c>
      <c r="F5" s="23">
        <f>SUMIF('CHIRP Payment Calc'!$G:$G,'IGT Commitment Suggestions'!$A5,'CHIRP Payment Calc'!AR:AR)</f>
        <v>114156035.89612962</v>
      </c>
      <c r="G5" s="23">
        <f>SUMIF('CHIRP Payment Calc'!$G:$G,'IGT Commitment Suggestions'!$A5,'CHIRP Payment Calc'!AS:AS)</f>
        <v>114156035.89612962</v>
      </c>
      <c r="H5" s="23">
        <f>F5</f>
        <v>114156035.89612962</v>
      </c>
      <c r="I5" s="68">
        <f>ROUND(IF(H5/F5&gt;1,1,H5/F5),2)</f>
        <v>1</v>
      </c>
    </row>
    <row r="6" spans="1:9">
      <c r="A6" s="24" t="s">
        <v>223</v>
      </c>
      <c r="B6" s="23">
        <f>SUMIF('CHIRP Payment Calc'!$G:$G,'IGT Commitment Suggestions'!$A6,'CHIRP Payment Calc'!AN:AN)</f>
        <v>1109940486.7142851</v>
      </c>
      <c r="C6" s="23">
        <f>SUMIF('CHIRP Payment Calc'!$G:$G,'IGT Commitment Suggestions'!$A6,'CHIRP Payment Calc'!AO:AO)</f>
        <v>68649166.664004162</v>
      </c>
      <c r="D6" s="23">
        <f>SUMIF('CHIRP Payment Calc'!$G:$G,'IGT Commitment Suggestions'!$A6,'CHIRP Payment Calc'!AP:AP)</f>
        <v>1178589653.3782892</v>
      </c>
      <c r="E6" s="23">
        <f>SUMIF('CHIRP Payment Calc'!$G:$G,'IGT Commitment Suggestions'!$A6,'CHIRP Payment Calc'!AQ:AQ)</f>
        <v>500113304.79731625</v>
      </c>
      <c r="F6" s="23">
        <f>SUMIF('CHIRP Payment Calc'!$G:$G,'IGT Commitment Suggestions'!$A6,'CHIRP Payment Calc'!AR:AR)</f>
        <v>250056652.39865813</v>
      </c>
      <c r="G6" s="23">
        <f>SUMIF('CHIRP Payment Calc'!$G:$G,'IGT Commitment Suggestions'!$A6,'CHIRP Payment Calc'!AS:AS)</f>
        <v>250056652.39865813</v>
      </c>
      <c r="H6" s="23">
        <f t="shared" ref="H6:H17" si="1">F6</f>
        <v>250056652.39865813</v>
      </c>
      <c r="I6" s="68">
        <f t="shared" ref="I6:I16" si="2">ROUND(IF(H6/F6&gt;1,1,H6/F6),2)</f>
        <v>1</v>
      </c>
    </row>
    <row r="7" spans="1:9">
      <c r="A7" s="24" t="s">
        <v>1189</v>
      </c>
      <c r="B7" s="23">
        <f>SUMIF('CHIRP Payment Calc'!$G:$G,'IGT Commitment Suggestions'!$A7,'CHIRP Payment Calc'!AN:AN)</f>
        <v>183685868.84881318</v>
      </c>
      <c r="C7" s="23">
        <f>SUMIF('CHIRP Payment Calc'!$G:$G,'IGT Commitment Suggestions'!$A7,'CHIRP Payment Calc'!AO:AO)</f>
        <v>11322006.182150919</v>
      </c>
      <c r="D7" s="23">
        <f>SUMIF('CHIRP Payment Calc'!$G:$G,'IGT Commitment Suggestions'!$A7,'CHIRP Payment Calc'!AP:AP)</f>
        <v>195007875.03096408</v>
      </c>
      <c r="E7" s="23">
        <f>SUMIF('CHIRP Payment Calc'!$G:$G,'IGT Commitment Suggestions'!$A7,'CHIRP Payment Calc'!AQ:AQ)</f>
        <v>82748081.627639055</v>
      </c>
      <c r="F7" s="23">
        <f>SUMIF('CHIRP Payment Calc'!$G:$G,'IGT Commitment Suggestions'!$A7,'CHIRP Payment Calc'!AR:AR)</f>
        <v>41374040.813819528</v>
      </c>
      <c r="G7" s="23">
        <f>SUMIF('CHIRP Payment Calc'!$G:$G,'IGT Commitment Suggestions'!$A7,'CHIRP Payment Calc'!AS:AS)</f>
        <v>41374040.813819528</v>
      </c>
      <c r="H7" s="23">
        <f t="shared" si="1"/>
        <v>41374040.813819528</v>
      </c>
      <c r="I7" s="68">
        <f t="shared" si="2"/>
        <v>1</v>
      </c>
    </row>
    <row r="8" spans="1:9">
      <c r="A8" s="24" t="s">
        <v>300</v>
      </c>
      <c r="B8" s="23">
        <f>SUMIF('CHIRP Payment Calc'!$G:$G,'IGT Commitment Suggestions'!$A8,'CHIRP Payment Calc'!AN:AN)</f>
        <v>1598126476.6937182</v>
      </c>
      <c r="C8" s="23">
        <f>SUMIF('CHIRP Payment Calc'!$G:$G,'IGT Commitment Suggestions'!$A8,'CHIRP Payment Calc'!AO:AO)</f>
        <v>98703193.133244082</v>
      </c>
      <c r="D8" s="23">
        <f>SUMIF('CHIRP Payment Calc'!$G:$G,'IGT Commitment Suggestions'!$A8,'CHIRP Payment Calc'!AP:AP)</f>
        <v>1696829669.8269629</v>
      </c>
      <c r="E8" s="23">
        <f>SUMIF('CHIRP Payment Calc'!$G:$G,'IGT Commitment Suggestions'!$A8,'CHIRP Payment Calc'!AQ:AQ)</f>
        <v>720019127.45701468</v>
      </c>
      <c r="F8" s="23">
        <f>SUMIF('CHIRP Payment Calc'!$G:$G,'IGT Commitment Suggestions'!$A8,'CHIRP Payment Calc'!AR:AR)</f>
        <v>360009563.72850734</v>
      </c>
      <c r="G8" s="23">
        <f>SUMIF('CHIRP Payment Calc'!$G:$G,'IGT Commitment Suggestions'!$A8,'CHIRP Payment Calc'!AS:AS)</f>
        <v>360009563.72850734</v>
      </c>
      <c r="H8" s="23">
        <f t="shared" si="1"/>
        <v>360009563.72850734</v>
      </c>
      <c r="I8" s="68">
        <f t="shared" si="2"/>
        <v>1</v>
      </c>
    </row>
    <row r="9" spans="1:9">
      <c r="A9" s="24" t="s">
        <v>1517</v>
      </c>
      <c r="B9" s="23">
        <f>SUMIF('CHIRP Payment Calc'!$G:$G,'IGT Commitment Suggestions'!$A9,'CHIRP Payment Calc'!AN:AN)</f>
        <v>334071276.08615321</v>
      </c>
      <c r="C9" s="23">
        <f>SUMIF('CHIRP Payment Calc'!$G:$G,'IGT Commitment Suggestions'!$A9,'CHIRP Payment Calc'!AO:AO)</f>
        <v>20639746.710123178</v>
      </c>
      <c r="D9" s="23">
        <f>SUMIF('CHIRP Payment Calc'!$G:$G,'IGT Commitment Suggestions'!$A9,'CHIRP Payment Calc'!AP:AP)</f>
        <v>354711022.79627639</v>
      </c>
      <c r="E9" s="23">
        <f>SUMIF('CHIRP Payment Calc'!$G:$G,'IGT Commitment Suggestions'!$A9,'CHIRP Payment Calc'!AQ:AQ)</f>
        <v>150515237.72518957</v>
      </c>
      <c r="F9" s="23">
        <f>SUMIF('CHIRP Payment Calc'!$G:$G,'IGT Commitment Suggestions'!$A9,'CHIRP Payment Calc'!AR:AR)</f>
        <v>75257618.862594783</v>
      </c>
      <c r="G9" s="23">
        <f>SUMIF('CHIRP Payment Calc'!$G:$G,'IGT Commitment Suggestions'!$A9,'CHIRP Payment Calc'!AS:AS)</f>
        <v>75257618.862594783</v>
      </c>
      <c r="H9" s="23">
        <f t="shared" si="1"/>
        <v>75257618.862594783</v>
      </c>
      <c r="I9" s="68">
        <f t="shared" si="2"/>
        <v>1</v>
      </c>
    </row>
    <row r="10" spans="1:9">
      <c r="A10" s="24" t="s">
        <v>1555</v>
      </c>
      <c r="B10" s="23">
        <f>SUMIF('CHIRP Payment Calc'!$G:$G,'IGT Commitment Suggestions'!$A10,'CHIRP Payment Calc'!AN:AN)</f>
        <v>73885427.401599139</v>
      </c>
      <c r="C10" s="23">
        <f>SUMIF('CHIRP Payment Calc'!$G:$G,'IGT Commitment Suggestions'!$A10,'CHIRP Payment Calc'!AO:AO)</f>
        <v>4591998.1608867152</v>
      </c>
      <c r="D10" s="23">
        <f>SUMIF('CHIRP Payment Calc'!$G:$G,'IGT Commitment Suggestions'!$A10,'CHIRP Payment Calc'!AP:AP)</f>
        <v>78477425.562485844</v>
      </c>
      <c r="E10" s="23">
        <f>SUMIF('CHIRP Payment Calc'!$G:$G,'IGT Commitment Suggestions'!$A10,'CHIRP Payment Calc'!AQ:AQ)</f>
        <v>33300482.943780743</v>
      </c>
      <c r="F10" s="23">
        <f>SUMIF('CHIRP Payment Calc'!$G:$G,'IGT Commitment Suggestions'!$A10,'CHIRP Payment Calc'!AR:AR)</f>
        <v>16650241.471890371</v>
      </c>
      <c r="G10" s="23">
        <f>SUMIF('CHIRP Payment Calc'!$G:$G,'IGT Commitment Suggestions'!$A10,'CHIRP Payment Calc'!AS:AS)</f>
        <v>16650241.471890371</v>
      </c>
      <c r="H10" s="23">
        <f t="shared" si="1"/>
        <v>16650241.471890371</v>
      </c>
      <c r="I10" s="68">
        <f t="shared" si="2"/>
        <v>1</v>
      </c>
    </row>
    <row r="11" spans="1:9">
      <c r="A11" s="24" t="s">
        <v>1530</v>
      </c>
      <c r="B11" s="23">
        <f>SUMIF('CHIRP Payment Calc'!$G:$G,'IGT Commitment Suggestions'!$A11,'CHIRP Payment Calc'!AN:AN)</f>
        <v>111634829.37812199</v>
      </c>
      <c r="C11" s="23">
        <f>SUMIF('CHIRP Payment Calc'!$G:$G,'IGT Commitment Suggestions'!$A11,'CHIRP Payment Calc'!AO:AO)</f>
        <v>6879122.3073566416</v>
      </c>
      <c r="D11" s="23">
        <f>SUMIF('CHIRP Payment Calc'!$G:$G,'IGT Commitment Suggestions'!$A11,'CHIRP Payment Calc'!AP:AP)</f>
        <v>118513951.68547861</v>
      </c>
      <c r="E11" s="23">
        <f>SUMIF('CHIRP Payment Calc'!$G:$G,'IGT Commitment Suggestions'!$A11,'CHIRP Payment Calc'!AQ:AQ)</f>
        <v>50289262.146602504</v>
      </c>
      <c r="F11" s="23">
        <f>SUMIF('CHIRP Payment Calc'!$G:$G,'IGT Commitment Suggestions'!$A11,'CHIRP Payment Calc'!AR:AR)</f>
        <v>25144631.073301252</v>
      </c>
      <c r="G11" s="23">
        <f>SUMIF('CHIRP Payment Calc'!$G:$G,'IGT Commitment Suggestions'!$A11,'CHIRP Payment Calc'!AS:AS)</f>
        <v>25144631.073301252</v>
      </c>
      <c r="H11" s="23">
        <f t="shared" si="1"/>
        <v>25144631.073301252</v>
      </c>
      <c r="I11" s="68">
        <f t="shared" si="2"/>
        <v>1</v>
      </c>
    </row>
    <row r="12" spans="1:9">
      <c r="A12" s="24" t="s">
        <v>1489</v>
      </c>
      <c r="B12" s="23">
        <f>SUMIF('CHIRP Payment Calc'!$G:$G,'IGT Commitment Suggestions'!$A12,'CHIRP Payment Calc'!AN:AN)</f>
        <v>203207813.83218026</v>
      </c>
      <c r="C12" s="23">
        <f>SUMIF('CHIRP Payment Calc'!$G:$G,'IGT Commitment Suggestions'!$A12,'CHIRP Payment Calc'!AO:AO)</f>
        <v>12575190.04594079</v>
      </c>
      <c r="D12" s="23">
        <f>SUMIF('CHIRP Payment Calc'!$G:$G,'IGT Commitment Suggestions'!$A12,'CHIRP Payment Calc'!AP:AP)</f>
        <v>215783003.87812117</v>
      </c>
      <c r="E12" s="23">
        <f>SUMIF('CHIRP Payment Calc'!$G:$G,'IGT Commitment Suggestions'!$A12,'CHIRP Payment Calc'!AQ:AQ)</f>
        <v>91563633.601610914</v>
      </c>
      <c r="F12" s="23">
        <f>SUMIF('CHIRP Payment Calc'!$G:$G,'IGT Commitment Suggestions'!$A12,'CHIRP Payment Calc'!AR:AR)</f>
        <v>45781816.800805457</v>
      </c>
      <c r="G12" s="23">
        <f>SUMIF('CHIRP Payment Calc'!$G:$G,'IGT Commitment Suggestions'!$A12,'CHIRP Payment Calc'!AS:AS)</f>
        <v>45781816.800805457</v>
      </c>
      <c r="H12" s="23">
        <f t="shared" si="1"/>
        <v>45781816.800805457</v>
      </c>
      <c r="I12" s="68">
        <f t="shared" si="2"/>
        <v>1</v>
      </c>
    </row>
    <row r="13" spans="1:9">
      <c r="A13" s="24" t="s">
        <v>310</v>
      </c>
      <c r="B13" s="23">
        <f>SUMIF('CHIRP Payment Calc'!$G:$G,'IGT Commitment Suggestions'!$A13,'CHIRP Payment Calc'!AN:AN)</f>
        <v>245274855.78438559</v>
      </c>
      <c r="C13" s="23">
        <f>SUMIF('CHIRP Payment Calc'!$G:$G,'IGT Commitment Suggestions'!$A13,'CHIRP Payment Calc'!AO:AO)</f>
        <v>15269030.968458839</v>
      </c>
      <c r="D13" s="23">
        <f>SUMIF('CHIRP Payment Calc'!$G:$G,'IGT Commitment Suggestions'!$A13,'CHIRP Payment Calc'!AP:AP)</f>
        <v>260543886.75284433</v>
      </c>
      <c r="E13" s="23">
        <f>SUMIF('CHIRP Payment Calc'!$G:$G,'IGT Commitment Suggestions'!$A13,'CHIRP Payment Calc'!AQ:AQ)</f>
        <v>110557108.55360797</v>
      </c>
      <c r="F13" s="23">
        <f>SUMIF('CHIRP Payment Calc'!$G:$G,'IGT Commitment Suggestions'!$A13,'CHIRP Payment Calc'!AR:AR)</f>
        <v>55278554.276803985</v>
      </c>
      <c r="G13" s="23">
        <f>SUMIF('CHIRP Payment Calc'!$G:$G,'IGT Commitment Suggestions'!$A13,'CHIRP Payment Calc'!AS:AS)</f>
        <v>55278554.276803985</v>
      </c>
      <c r="H13" s="23">
        <f t="shared" si="1"/>
        <v>55278554.276803985</v>
      </c>
      <c r="I13" s="68">
        <f t="shared" si="2"/>
        <v>1</v>
      </c>
    </row>
    <row r="14" spans="1:9">
      <c r="A14" s="24" t="s">
        <v>227</v>
      </c>
      <c r="B14" s="23">
        <f>SUMIF('CHIRP Payment Calc'!$G:$G,'IGT Commitment Suggestions'!$A14,'CHIRP Payment Calc'!AN:AN)</f>
        <v>175873049.80551678</v>
      </c>
      <c r="C14" s="23">
        <f>SUMIF('CHIRP Payment Calc'!$G:$G,'IGT Commitment Suggestions'!$A14,'CHIRP Payment Calc'!AO:AO)</f>
        <v>10878311.92393814</v>
      </c>
      <c r="D14" s="23">
        <f>SUMIF('CHIRP Payment Calc'!$G:$G,'IGT Commitment Suggestions'!$A14,'CHIRP Payment Calc'!AP:AP)</f>
        <v>186751361.72945496</v>
      </c>
      <c r="E14" s="23">
        <f>SUMIF('CHIRP Payment Calc'!$G:$G,'IGT Commitment Suggestions'!$A14,'CHIRP Payment Calc'!AQ:AQ)</f>
        <v>79244578.825383082</v>
      </c>
      <c r="F14" s="23">
        <f>SUMIF('CHIRP Payment Calc'!$G:$G,'IGT Commitment Suggestions'!$A14,'CHIRP Payment Calc'!AR:AR)</f>
        <v>39622289.412691541</v>
      </c>
      <c r="G14" s="23">
        <f>SUMIF('CHIRP Payment Calc'!$G:$G,'IGT Commitment Suggestions'!$A14,'CHIRP Payment Calc'!AS:AS)</f>
        <v>39622289.412691541</v>
      </c>
      <c r="H14" s="23">
        <f t="shared" si="1"/>
        <v>39622289.412691541</v>
      </c>
      <c r="I14" s="68">
        <f t="shared" si="2"/>
        <v>1</v>
      </c>
    </row>
    <row r="15" spans="1:9">
      <c r="A15" s="24" t="s">
        <v>1553</v>
      </c>
      <c r="B15" s="23">
        <f>SUMIF('CHIRP Payment Calc'!$G:$G,'IGT Commitment Suggestions'!$A15,'CHIRP Payment Calc'!AN:AN)</f>
        <v>361001095.77065158</v>
      </c>
      <c r="C15" s="23">
        <f>SUMIF('CHIRP Payment Calc'!$G:$G,'IGT Commitment Suggestions'!$A15,'CHIRP Payment Calc'!AO:AO)</f>
        <v>22128678.200713873</v>
      </c>
      <c r="D15" s="23">
        <f>SUMIF('CHIRP Payment Calc'!$G:$G,'IGT Commitment Suggestions'!$A15,'CHIRP Payment Calc'!AP:AP)</f>
        <v>383129773.97136551</v>
      </c>
      <c r="E15" s="23">
        <f>SUMIF('CHIRP Payment Calc'!$G:$G,'IGT Commitment Suggestions'!$A15,'CHIRP Payment Calc'!AQ:AQ)</f>
        <v>162574223.24881741</v>
      </c>
      <c r="F15" s="23">
        <f>SUMIF('CHIRP Payment Calc'!$G:$G,'IGT Commitment Suggestions'!$A15,'CHIRP Payment Calc'!AR:AR)</f>
        <v>81287111.624408707</v>
      </c>
      <c r="G15" s="23">
        <f>SUMIF('CHIRP Payment Calc'!$G:$G,'IGT Commitment Suggestions'!$A15,'CHIRP Payment Calc'!AS:AS)</f>
        <v>81287111.624408707</v>
      </c>
      <c r="H15" s="23">
        <f t="shared" si="1"/>
        <v>81287111.624408707</v>
      </c>
      <c r="I15" s="68">
        <f t="shared" si="2"/>
        <v>1</v>
      </c>
    </row>
    <row r="16" spans="1:9">
      <c r="A16" s="24" t="s">
        <v>1366</v>
      </c>
      <c r="B16" s="23">
        <f>SUMIF('CHIRP Payment Calc'!$G:$G,'IGT Commitment Suggestions'!$A16,'CHIRP Payment Calc'!AN:AN)</f>
        <v>860188421.59672832</v>
      </c>
      <c r="C16" s="23">
        <f>SUMIF('CHIRP Payment Calc'!$G:$G,'IGT Commitment Suggestions'!$A16,'CHIRP Payment Calc'!AO:AO)</f>
        <v>52988580.372790657</v>
      </c>
      <c r="D16" s="23">
        <f>SUMIF('CHIRP Payment Calc'!$G:$G,'IGT Commitment Suggestions'!$A16,'CHIRP Payment Calc'!AP:AP)</f>
        <v>913177001.96951926</v>
      </c>
      <c r="E16" s="23">
        <f>SUMIF('CHIRP Payment Calc'!$G:$G,'IGT Commitment Suggestions'!$A16,'CHIRP Payment Calc'!AQ:AQ)</f>
        <v>387490223.59973019</v>
      </c>
      <c r="F16" s="23">
        <f>SUMIF('CHIRP Payment Calc'!$G:$G,'IGT Commitment Suggestions'!$A16,'CHIRP Payment Calc'!AR:AR)</f>
        <v>193745111.7998651</v>
      </c>
      <c r="G16" s="23">
        <f>SUMIF('CHIRP Payment Calc'!$G:$G,'IGT Commitment Suggestions'!$A16,'CHIRP Payment Calc'!AS:AS)</f>
        <v>193745111.7998651</v>
      </c>
      <c r="H16" s="23">
        <f t="shared" si="1"/>
        <v>193745111.7998651</v>
      </c>
      <c r="I16" s="68">
        <f t="shared" si="2"/>
        <v>1</v>
      </c>
    </row>
    <row r="17" spans="1:9" ht="15.75" thickBot="1">
      <c r="A17" s="25" t="s">
        <v>1202</v>
      </c>
      <c r="B17" s="26">
        <f>SUMIF('CHIRP Payment Calc'!$G:$G,'IGT Commitment Suggestions'!$A17,'CHIRP Payment Calc'!AN:AN)</f>
        <v>364851943.32030165</v>
      </c>
      <c r="C17" s="26">
        <f>SUMIF('CHIRP Payment Calc'!$G:$G,'IGT Commitment Suggestions'!$A17,'CHIRP Payment Calc'!AO:AO)</f>
        <v>22498782.838406451</v>
      </c>
      <c r="D17" s="26">
        <f>SUMIF('CHIRP Payment Calc'!$G:$G,'IGT Commitment Suggestions'!$A17,'CHIRP Payment Calc'!AP:AP)</f>
        <v>387350726.15870821</v>
      </c>
      <c r="E17" s="26">
        <f>SUMIF('CHIRP Payment Calc'!$G:$G,'IGT Commitment Suggestions'!$A17,'CHIRP Payment Calc'!AQ:AQ)</f>
        <v>164365308.33237702</v>
      </c>
      <c r="F17" s="26">
        <f>SUMIF('CHIRP Payment Calc'!$G:$G,'IGT Commitment Suggestions'!$A17,'CHIRP Payment Calc'!AR:AR)</f>
        <v>82182654.166188508</v>
      </c>
      <c r="G17" s="26">
        <f>SUMIF('CHIRP Payment Calc'!$G:$G,'IGT Commitment Suggestions'!$A17,'CHIRP Payment Calc'!AS:AS)</f>
        <v>82182654.166188508</v>
      </c>
      <c r="H17" s="26">
        <f t="shared" si="1"/>
        <v>82182654.166188508</v>
      </c>
      <c r="I17" s="69">
        <f>ROUND(IF(H17/F17&gt;1,1,H17/F17),2)</f>
        <v>1</v>
      </c>
    </row>
    <row r="565" spans="4:4" ht="34.5" customHeight="1"/>
    <row r="567" spans="4:4">
      <c r="D567" s="92"/>
    </row>
    <row r="568" spans="4:4">
      <c r="D568" s="9" t="s">
        <v>2926</v>
      </c>
    </row>
    <row r="569" spans="4:4">
      <c r="D569" s="21">
        <v>0.42032577492162498</v>
      </c>
    </row>
    <row r="570" spans="4:4">
      <c r="D570" s="21">
        <v>0.71798745206164105</v>
      </c>
    </row>
    <row r="571" spans="4:4">
      <c r="D571" s="21">
        <v>0</v>
      </c>
    </row>
    <row r="572" spans="4:4">
      <c r="D572" s="2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01D0D-80F2-406F-A3DB-CD5E39616D50}">
  <sheetPr>
    <tabColor rgb="FF7030A0"/>
    <pageSetUpPr fitToPage="1"/>
  </sheetPr>
  <dimension ref="A1:Q68"/>
  <sheetViews>
    <sheetView topLeftCell="G1" workbookViewId="0">
      <selection activeCell="P5" sqref="P5"/>
    </sheetView>
  </sheetViews>
  <sheetFormatPr defaultColWidth="8.796875" defaultRowHeight="15"/>
  <cols>
    <col min="1" max="1" width="31.796875" style="9" customWidth="1"/>
    <col min="2" max="2" width="18" style="9" customWidth="1"/>
    <col min="3" max="3" width="15.796875" style="9" bestFit="1" customWidth="1"/>
    <col min="4" max="4" width="18.69921875" style="6" customWidth="1"/>
    <col min="5" max="5" width="16.19921875" style="6" customWidth="1"/>
    <col min="6" max="6" width="18.8984375" style="6" customWidth="1"/>
    <col min="7" max="7" width="17.19921875" style="6" customWidth="1"/>
    <col min="8" max="8" width="18.09765625" style="6" customWidth="1"/>
    <col min="9" max="9" width="18.296875" style="6" customWidth="1"/>
    <col min="10" max="16" width="15.8984375" style="9" customWidth="1"/>
    <col min="17" max="17" width="12" style="9" customWidth="1"/>
    <col min="18" max="16384" width="8.796875" style="9"/>
  </cols>
  <sheetData>
    <row r="1" spans="1:17" ht="19.5">
      <c r="A1" s="67" t="s">
        <v>3742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20.25" thickBot="1">
      <c r="A2" s="29"/>
      <c r="B2" s="29"/>
      <c r="C2" s="29"/>
    </row>
    <row r="3" spans="1:17" ht="15.75" thickBot="1">
      <c r="A3" s="27" t="s">
        <v>2927</v>
      </c>
      <c r="B3" s="28">
        <f>SUM(B5:B61)</f>
        <v>2918361917.8084998</v>
      </c>
      <c r="C3" s="28">
        <f>SUM(C5:C61)</f>
        <v>1094706236.7848396</v>
      </c>
      <c r="D3" s="28">
        <f>SUM(D5:D61)</f>
        <v>4013068154.5933404</v>
      </c>
      <c r="E3" s="28">
        <f t="shared" ref="E3:F3" si="0">SUM(E5:E61)</f>
        <v>2638206923.3241901</v>
      </c>
      <c r="F3" s="28">
        <f t="shared" si="0"/>
        <v>1655663596.3521078</v>
      </c>
      <c r="G3" s="28">
        <f>SUM(G5:G61)</f>
        <v>4293870519.6762986</v>
      </c>
      <c r="H3" s="28"/>
      <c r="I3" s="28"/>
      <c r="J3" s="28">
        <f>SUM(J5:J61)</f>
        <v>2990040239.656074</v>
      </c>
      <c r="K3" s="28">
        <f>SUM(K5:K61)</f>
        <v>1098215518.5697761</v>
      </c>
      <c r="L3" s="113">
        <f>SUM(L5:L61)</f>
        <v>4088255758.2258506</v>
      </c>
      <c r="M3" s="113">
        <f t="shared" ref="M3:N3" si="1">SUM(M5:M61)</f>
        <v>1275647915.578589</v>
      </c>
      <c r="N3" s="113">
        <f t="shared" si="1"/>
        <v>764593842.63575232</v>
      </c>
      <c r="O3" s="28">
        <f>SUM(O5:O61)</f>
        <v>2040241758.2143409</v>
      </c>
      <c r="P3" s="28">
        <f>SUM(P5:P61)</f>
        <v>6128497516.4401922</v>
      </c>
      <c r="Q3" s="79">
        <f t="shared" ref="Q3" si="2">SUM(Q5:Q61)</f>
        <v>393</v>
      </c>
    </row>
    <row r="4" spans="1:17" ht="45">
      <c r="A4" s="34" t="s">
        <v>2913</v>
      </c>
      <c r="B4" s="83" t="s">
        <v>3060</v>
      </c>
      <c r="C4" s="83" t="s">
        <v>3061</v>
      </c>
      <c r="D4" s="34" t="s">
        <v>3062</v>
      </c>
      <c r="E4" s="83" t="s">
        <v>3741</v>
      </c>
      <c r="F4" s="83" t="s">
        <v>3748</v>
      </c>
      <c r="G4" s="34" t="s">
        <v>3743</v>
      </c>
      <c r="H4" s="83" t="s">
        <v>3066</v>
      </c>
      <c r="I4" s="83" t="s">
        <v>3067</v>
      </c>
      <c r="J4" s="83" t="s">
        <v>3063</v>
      </c>
      <c r="K4" s="83" t="s">
        <v>3064</v>
      </c>
      <c r="L4" s="83" t="s">
        <v>3065</v>
      </c>
      <c r="M4" s="83" t="s">
        <v>3168</v>
      </c>
      <c r="N4" s="83" t="s">
        <v>3169</v>
      </c>
      <c r="O4" s="83" t="s">
        <v>3174</v>
      </c>
      <c r="P4" s="83" t="s">
        <v>2940</v>
      </c>
      <c r="Q4" s="66" t="s">
        <v>2802</v>
      </c>
    </row>
    <row r="5" spans="1:17">
      <c r="A5" s="75" t="s">
        <v>3011</v>
      </c>
      <c r="B5" s="76">
        <f>SUMIF('CHIRP Payment Calc'!H:H,A5,'CHIRP Payment Calc'!L:L)</f>
        <v>889328678.82813275</v>
      </c>
      <c r="C5" s="76">
        <f>SUMIF('CHIRP Payment Calc'!H:H,A5,'CHIRP Payment Calc'!M:M)</f>
        <v>165198604.8033874</v>
      </c>
      <c r="D5" s="76">
        <f>SUMIF('CHIRP Payment Calc'!H:H,A5,'CHIRP Payment Calc'!N:N)</f>
        <v>1054527283.63152</v>
      </c>
      <c r="E5" s="76">
        <f>SUMIF('CHIRP Payment Calc'!H:H,A5,'CHIRP Payment Calc'!I:I)</f>
        <v>343894043.2230891</v>
      </c>
      <c r="F5" s="76">
        <f>SUMIF('CHIRP Payment Calc'!H:H,A5,'CHIRP Payment Calc'!J:J)</f>
        <v>195204387.060424</v>
      </c>
      <c r="G5" s="76">
        <f>SUMIF('CHIRP Payment Calc'!H:H,A5,'CHIRP Payment Calc'!K:K)</f>
        <v>539098430.28351307</v>
      </c>
      <c r="H5" s="77">
        <f>IFERROR(MAX(ROUND(B5/E5,2),0),0)</f>
        <v>2.59</v>
      </c>
      <c r="I5" s="77">
        <f>IFERROR(MAX(ROUND(C5/F5,2),0),0)</f>
        <v>0.85</v>
      </c>
      <c r="J5" s="78">
        <f t="shared" ref="J5:J36" si="3">+H5*E5</f>
        <v>890685571.94780076</v>
      </c>
      <c r="K5" s="78">
        <f t="shared" ref="K5:K36" si="4">+I5*F5</f>
        <v>165923729.00136039</v>
      </c>
      <c r="L5" s="78">
        <f>J5+K5</f>
        <v>1056609300.9491612</v>
      </c>
      <c r="M5" s="78">
        <f>SUMIF('CHIRP Payment Calc'!H:H,A5,'CHIRP Payment Calc'!AJ:AJ)</f>
        <v>0</v>
      </c>
      <c r="N5" s="78">
        <f>SUMIF('CHIRP Payment Calc'!H:H,A5,'CHIRP Payment Calc'!AK:AK)</f>
        <v>43874955.441301554</v>
      </c>
      <c r="O5" s="76">
        <f>M5+N5</f>
        <v>43874955.441301554</v>
      </c>
      <c r="P5" s="78">
        <f>+L5+O5</f>
        <v>1100484256.3904626</v>
      </c>
      <c r="Q5" s="80">
        <f>COUNTIF('CHIRP Payment Calc'!H:H,A5)</f>
        <v>36</v>
      </c>
    </row>
    <row r="6" spans="1:17">
      <c r="A6" s="75" t="s">
        <v>3012</v>
      </c>
      <c r="B6" s="76">
        <f>SUMIF('CHIRP Payment Calc'!H:H,A6,'CHIRP Payment Calc'!L:L)</f>
        <v>272869353.49812698</v>
      </c>
      <c r="C6" s="76">
        <f>SUMIF('CHIRP Payment Calc'!H:H,A6,'CHIRP Payment Calc'!M:M)</f>
        <v>105497557.40284872</v>
      </c>
      <c r="D6" s="76">
        <f>SUMIF('CHIRP Payment Calc'!H:H,A6,'CHIRP Payment Calc'!N:N)</f>
        <v>378366910.90097576</v>
      </c>
      <c r="E6" s="76">
        <f>SUMIF('CHIRP Payment Calc'!H:H,A6,'CHIRP Payment Calc'!I:I)</f>
        <v>226521149.93922514</v>
      </c>
      <c r="F6" s="76">
        <f>SUMIF('CHIRP Payment Calc'!H:H,A6,'CHIRP Payment Calc'!J:J)</f>
        <v>97919953.456021473</v>
      </c>
      <c r="G6" s="76">
        <f>SUMIF('CHIRP Payment Calc'!H:H,A6,'CHIRP Payment Calc'!K:K)</f>
        <v>324441103.39524662</v>
      </c>
      <c r="H6" s="77">
        <f t="shared" ref="H6:H61" si="5">IFERROR(MAX(ROUND(B6/E6,2),0),0)</f>
        <v>1.2</v>
      </c>
      <c r="I6" s="77">
        <f t="shared" ref="I6:I61" si="6">IFERROR(MAX(ROUND(C6/F6,2),0),0)</f>
        <v>1.08</v>
      </c>
      <c r="J6" s="78">
        <f t="shared" si="3"/>
        <v>271825379.92707014</v>
      </c>
      <c r="K6" s="78">
        <f t="shared" si="4"/>
        <v>105753549.73250319</v>
      </c>
      <c r="L6" s="78">
        <f t="shared" ref="L6:L61" si="7">J6+K6</f>
        <v>377578929.65957332</v>
      </c>
      <c r="M6" s="78">
        <f>SUMIF('CHIRP Payment Calc'!H:H,A6,'CHIRP Payment Calc'!AJ:AJ)</f>
        <v>189584612.72466651</v>
      </c>
      <c r="N6" s="78">
        <f>SUMIF('CHIRP Payment Calc'!H:H,A6,'CHIRP Payment Calc'!AK:AK)</f>
        <v>110267199.16385989</v>
      </c>
      <c r="O6" s="76">
        <f t="shared" ref="O6:O61" si="8">M6+N6</f>
        <v>299851811.88852638</v>
      </c>
      <c r="P6" s="78">
        <f t="shared" ref="P6:P61" si="9">+L6+O6</f>
        <v>677430741.54809976</v>
      </c>
      <c r="Q6" s="80">
        <f>COUNTIF('CHIRP Payment Calc'!H:H,A6)</f>
        <v>34</v>
      </c>
    </row>
    <row r="7" spans="1:17">
      <c r="A7" s="75" t="s">
        <v>3013</v>
      </c>
      <c r="B7" s="76">
        <f>SUMIF('CHIRP Payment Calc'!H:H,A7,'CHIRP Payment Calc'!L:L)</f>
        <v>193562792.65839228</v>
      </c>
      <c r="C7" s="76">
        <f>SUMIF('CHIRP Payment Calc'!H:H,A7,'CHIRP Payment Calc'!M:M)</f>
        <v>88414922.745931804</v>
      </c>
      <c r="D7" s="76">
        <f>SUMIF('CHIRP Payment Calc'!H:H,A7,'CHIRP Payment Calc'!N:N)</f>
        <v>281977715.40432411</v>
      </c>
      <c r="E7" s="76">
        <f>SUMIF('CHIRP Payment Calc'!H:H,A7,'CHIRP Payment Calc'!I:I)</f>
        <v>270965723.26984054</v>
      </c>
      <c r="F7" s="76">
        <f>SUMIF('CHIRP Payment Calc'!H:H,A7,'CHIRP Payment Calc'!J:J)</f>
        <v>132927452.26234199</v>
      </c>
      <c r="G7" s="76">
        <f>SUMIF('CHIRP Payment Calc'!H:H,A7,'CHIRP Payment Calc'!K:K)</f>
        <v>403893175.53218251</v>
      </c>
      <c r="H7" s="77">
        <f t="shared" si="5"/>
        <v>0.71</v>
      </c>
      <c r="I7" s="77">
        <f t="shared" si="6"/>
        <v>0.67</v>
      </c>
      <c r="J7" s="78">
        <f t="shared" si="3"/>
        <v>192385663.52158678</v>
      </c>
      <c r="K7" s="78">
        <f t="shared" si="4"/>
        <v>89061393.015769139</v>
      </c>
      <c r="L7" s="78">
        <f t="shared" si="7"/>
        <v>281447056.5373559</v>
      </c>
      <c r="M7" s="78">
        <f>SUMIF('CHIRP Payment Calc'!H:H,A7,'CHIRP Payment Calc'!AJ:AJ)</f>
        <v>113565705.22900216</v>
      </c>
      <c r="N7" s="78">
        <f>SUMIF('CHIRP Payment Calc'!H:H,A7,'CHIRP Payment Calc'!AK:AK)</f>
        <v>24901240.789305214</v>
      </c>
      <c r="O7" s="76">
        <f t="shared" si="8"/>
        <v>138466946.01830739</v>
      </c>
      <c r="P7" s="78">
        <f t="shared" si="9"/>
        <v>419914002.55566329</v>
      </c>
      <c r="Q7" s="80">
        <f>COUNTIF('CHIRP Payment Calc'!H:H,A7)</f>
        <v>11</v>
      </c>
    </row>
    <row r="8" spans="1:17">
      <c r="A8" s="75" t="s">
        <v>3006</v>
      </c>
      <c r="B8" s="76">
        <f>SUMIF('CHIRP Payment Calc'!H:H,A8,'CHIRP Payment Calc'!L:L)</f>
        <v>282783005.55477476</v>
      </c>
      <c r="C8" s="76">
        <f>SUMIF('CHIRP Payment Calc'!H:H,A8,'CHIRP Payment Calc'!M:M)</f>
        <v>41787019.351081103</v>
      </c>
      <c r="D8" s="76">
        <f>SUMIF('CHIRP Payment Calc'!H:H,A8,'CHIRP Payment Calc'!N:N)</f>
        <v>324570024.90585589</v>
      </c>
      <c r="E8" s="76">
        <f>SUMIF('CHIRP Payment Calc'!H:H,A8,'CHIRP Payment Calc'!I:I)</f>
        <v>210947382.35536379</v>
      </c>
      <c r="F8" s="76">
        <f>SUMIF('CHIRP Payment Calc'!H:H,A8,'CHIRP Payment Calc'!J:J)</f>
        <v>164628573.21006078</v>
      </c>
      <c r="G8" s="76">
        <f>SUMIF('CHIRP Payment Calc'!H:H,A8,'CHIRP Payment Calc'!K:K)</f>
        <v>375575955.56542456</v>
      </c>
      <c r="H8" s="77">
        <f t="shared" si="5"/>
        <v>1.34</v>
      </c>
      <c r="I8" s="77">
        <f t="shared" si="6"/>
        <v>0.25</v>
      </c>
      <c r="J8" s="78">
        <f t="shared" si="3"/>
        <v>282669492.35618746</v>
      </c>
      <c r="K8" s="78">
        <f t="shared" si="4"/>
        <v>41157143.302515194</v>
      </c>
      <c r="L8" s="78">
        <f t="shared" si="7"/>
        <v>323826635.65870267</v>
      </c>
      <c r="M8" s="78">
        <f>SUMIF('CHIRP Payment Calc'!H:H,A8,'CHIRP Payment Calc'!AJ:AJ)</f>
        <v>0</v>
      </c>
      <c r="N8" s="78">
        <f>SUMIF('CHIRP Payment Calc'!H:H,A8,'CHIRP Payment Calc'!AK:AK)</f>
        <v>107008572.58653951</v>
      </c>
      <c r="O8" s="76">
        <f t="shared" si="8"/>
        <v>107008572.58653951</v>
      </c>
      <c r="P8" s="78">
        <f t="shared" si="9"/>
        <v>430835208.24524218</v>
      </c>
      <c r="Q8" s="80">
        <f>COUNTIF('CHIRP Payment Calc'!H:H,A8)</f>
        <v>1</v>
      </c>
    </row>
    <row r="9" spans="1:17">
      <c r="A9" s="75" t="s">
        <v>3014</v>
      </c>
      <c r="B9" s="76">
        <f>SUMIF('CHIRP Payment Calc'!H:H,A9,'CHIRP Payment Calc'!L:L)</f>
        <v>22583751.920000002</v>
      </c>
      <c r="C9" s="76">
        <f>SUMIF('CHIRP Payment Calc'!H:H,A9,'CHIRP Payment Calc'!M:M)</f>
        <v>32756354.76000002</v>
      </c>
      <c r="D9" s="76">
        <f>SUMIF('CHIRP Payment Calc'!H:H,A9,'CHIRP Payment Calc'!N:N)</f>
        <v>55340106.680000022</v>
      </c>
      <c r="E9" s="76">
        <f>SUMIF('CHIRP Payment Calc'!H:H,A9,'CHIRP Payment Calc'!I:I)</f>
        <v>68437449.2248777</v>
      </c>
      <c r="F9" s="76">
        <f>SUMIF('CHIRP Payment Calc'!H:H,A9,'CHIRP Payment Calc'!J:J)</f>
        <v>50791764.717056751</v>
      </c>
      <c r="G9" s="76">
        <f>SUMIF('CHIRP Payment Calc'!H:H,A9,'CHIRP Payment Calc'!K:K)</f>
        <v>119229213.94193445</v>
      </c>
      <c r="H9" s="77">
        <f t="shared" si="5"/>
        <v>0.33</v>
      </c>
      <c r="I9" s="77">
        <f t="shared" si="6"/>
        <v>0.64</v>
      </c>
      <c r="J9" s="78">
        <f t="shared" si="3"/>
        <v>22584358.244209643</v>
      </c>
      <c r="K9" s="78">
        <f t="shared" si="4"/>
        <v>32506729.418916322</v>
      </c>
      <c r="L9" s="78">
        <f t="shared" si="7"/>
        <v>55091087.663125962</v>
      </c>
      <c r="M9" s="78">
        <f>SUMIF('CHIRP Payment Calc'!H:H,A9,'CHIRP Payment Calc'!AJ:AJ)</f>
        <v>0</v>
      </c>
      <c r="N9" s="78">
        <f>SUMIF('CHIRP Payment Calc'!H:H,A9,'CHIRP Payment Calc'!AK:AK)</f>
        <v>0</v>
      </c>
      <c r="O9" s="76">
        <f t="shared" si="8"/>
        <v>0</v>
      </c>
      <c r="P9" s="78">
        <f t="shared" si="9"/>
        <v>55091087.663125962</v>
      </c>
      <c r="Q9" s="80">
        <f>COUNTIF('CHIRP Payment Calc'!H:H,A9)</f>
        <v>1</v>
      </c>
    </row>
    <row r="10" spans="1:17">
      <c r="A10" s="75" t="s">
        <v>3015</v>
      </c>
      <c r="B10" s="76">
        <f>SUMIF('CHIRP Payment Calc'!H:H,A10,'CHIRP Payment Calc'!L:L)</f>
        <v>61931707.069940828</v>
      </c>
      <c r="C10" s="76">
        <f>SUMIF('CHIRP Payment Calc'!H:H,A10,'CHIRP Payment Calc'!M:M)</f>
        <v>80542352.528165698</v>
      </c>
      <c r="D10" s="76">
        <f>SUMIF('CHIRP Payment Calc'!H:H,A10,'CHIRP Payment Calc'!N:N)</f>
        <v>142474059.5981065</v>
      </c>
      <c r="E10" s="76">
        <f>SUMIF('CHIRP Payment Calc'!H:H,A10,'CHIRP Payment Calc'!I:I)</f>
        <v>79429347.749075696</v>
      </c>
      <c r="F10" s="76">
        <f>SUMIF('CHIRP Payment Calc'!H:H,A10,'CHIRP Payment Calc'!J:J)</f>
        <v>62593082.271260008</v>
      </c>
      <c r="G10" s="76">
        <f>SUMIF('CHIRP Payment Calc'!H:H,A10,'CHIRP Payment Calc'!K:K)</f>
        <v>142022430.0203357</v>
      </c>
      <c r="H10" s="77">
        <f t="shared" si="5"/>
        <v>0.78</v>
      </c>
      <c r="I10" s="77">
        <f t="shared" si="6"/>
        <v>1.29</v>
      </c>
      <c r="J10" s="78">
        <f t="shared" si="3"/>
        <v>61954891.244279042</v>
      </c>
      <c r="K10" s="78">
        <f t="shared" si="4"/>
        <v>80745076.129925415</v>
      </c>
      <c r="L10" s="78">
        <f t="shared" si="7"/>
        <v>142699967.37420446</v>
      </c>
      <c r="M10" s="78">
        <f>SUMIF('CHIRP Payment Calc'!H:H,A10,'CHIRP Payment Calc'!AJ:AJ)</f>
        <v>46095636.293347031</v>
      </c>
      <c r="N10" s="78">
        <f>SUMIF('CHIRP Payment Calc'!H:H,A10,'CHIRP Payment Calc'!AK:AK)</f>
        <v>393854.57899847545</v>
      </c>
      <c r="O10" s="76">
        <f t="shared" si="8"/>
        <v>46489490.872345507</v>
      </c>
      <c r="P10" s="78">
        <f t="shared" si="9"/>
        <v>189189458.24654996</v>
      </c>
      <c r="Q10" s="80">
        <f>COUNTIF('CHIRP Payment Calc'!H:H,A10)</f>
        <v>11</v>
      </c>
    </row>
    <row r="11" spans="1:17">
      <c r="A11" s="75" t="s">
        <v>3016</v>
      </c>
      <c r="B11" s="76">
        <f>SUMIF('CHIRP Payment Calc'!H:H,A11,'CHIRP Payment Calc'!L:L)</f>
        <v>150736092.18917158</v>
      </c>
      <c r="C11" s="76">
        <f>SUMIF('CHIRP Payment Calc'!H:H,A11,'CHIRP Payment Calc'!M:M)</f>
        <v>74021661.720532537</v>
      </c>
      <c r="D11" s="76">
        <f>SUMIF('CHIRP Payment Calc'!H:H,A11,'CHIRP Payment Calc'!N:N)</f>
        <v>224757753.90970415</v>
      </c>
      <c r="E11" s="76">
        <f>SUMIF('CHIRP Payment Calc'!H:H,A11,'CHIRP Payment Calc'!I:I)</f>
        <v>124620894.40426347</v>
      </c>
      <c r="F11" s="76">
        <f>SUMIF('CHIRP Payment Calc'!H:H,A11,'CHIRP Payment Calc'!J:J)</f>
        <v>78541701.988141179</v>
      </c>
      <c r="G11" s="76">
        <f>SUMIF('CHIRP Payment Calc'!H:H,A11,'CHIRP Payment Calc'!K:K)</f>
        <v>203162596.39240468</v>
      </c>
      <c r="H11" s="77">
        <f t="shared" si="5"/>
        <v>1.21</v>
      </c>
      <c r="I11" s="77">
        <f t="shared" si="6"/>
        <v>0.94</v>
      </c>
      <c r="J11" s="78">
        <f t="shared" si="3"/>
        <v>150791282.22915879</v>
      </c>
      <c r="K11" s="78">
        <f t="shared" si="4"/>
        <v>73829199.868852705</v>
      </c>
      <c r="L11" s="78">
        <f t="shared" si="7"/>
        <v>224620482.09801149</v>
      </c>
      <c r="M11" s="78">
        <f>SUMIF('CHIRP Payment Calc'!H:H,A11,'CHIRP Payment Calc'!AJ:AJ)</f>
        <v>84281957.161155224</v>
      </c>
      <c r="N11" s="78">
        <f>SUMIF('CHIRP Payment Calc'!H:H,A11,'CHIRP Payment Calc'!AK:AK)</f>
        <v>21421642.535153355</v>
      </c>
      <c r="O11" s="76">
        <f t="shared" si="8"/>
        <v>105703599.69630858</v>
      </c>
      <c r="P11" s="78">
        <f t="shared" si="9"/>
        <v>330324081.79432011</v>
      </c>
      <c r="Q11" s="80">
        <f>COUNTIF('CHIRP Payment Calc'!H:H,A11)</f>
        <v>12</v>
      </c>
    </row>
    <row r="12" spans="1:17">
      <c r="A12" s="75" t="s">
        <v>3004</v>
      </c>
      <c r="B12" s="76">
        <f>SUMIF('CHIRP Payment Calc'!H:H,A12,'CHIRP Payment Calc'!L:L)</f>
        <v>293923645.96286714</v>
      </c>
      <c r="C12" s="76">
        <f>SUMIF('CHIRP Payment Calc'!H:H,A12,'CHIRP Payment Calc'!M:M)</f>
        <v>-2633347.6593007073</v>
      </c>
      <c r="D12" s="76">
        <f>SUMIF('CHIRP Payment Calc'!H:H,A12,'CHIRP Payment Calc'!N:N)</f>
        <v>291290298.3035664</v>
      </c>
      <c r="E12" s="76">
        <f>SUMIF('CHIRP Payment Calc'!H:H,A12,'CHIRP Payment Calc'!I:I)</f>
        <v>184200386.69608447</v>
      </c>
      <c r="F12" s="76">
        <f>SUMIF('CHIRP Payment Calc'!H:H,A12,'CHIRP Payment Calc'!J:J)</f>
        <v>194480563.53168726</v>
      </c>
      <c r="G12" s="76">
        <f>SUMIF('CHIRP Payment Calc'!H:H,A12,'CHIRP Payment Calc'!K:K)</f>
        <v>378680950.2277717</v>
      </c>
      <c r="H12" s="77">
        <f t="shared" si="5"/>
        <v>1.6</v>
      </c>
      <c r="I12" s="77">
        <f t="shared" si="6"/>
        <v>0</v>
      </c>
      <c r="J12" s="78">
        <f t="shared" si="3"/>
        <v>294720618.71373516</v>
      </c>
      <c r="K12" s="78">
        <f t="shared" si="4"/>
        <v>0</v>
      </c>
      <c r="L12" s="78">
        <f t="shared" si="7"/>
        <v>294720618.71373516</v>
      </c>
      <c r="M12" s="78">
        <f>SUMIF('CHIRP Payment Calc'!H:H,A12,'CHIRP Payment Calc'!AJ:AJ)</f>
        <v>0</v>
      </c>
      <c r="N12" s="78">
        <f>SUMIF('CHIRP Payment Calc'!H:H,A12,'CHIRP Payment Calc'!AK:AK)</f>
        <v>82457673.741333172</v>
      </c>
      <c r="O12" s="76">
        <f t="shared" si="8"/>
        <v>82457673.741333172</v>
      </c>
      <c r="P12" s="78">
        <f t="shared" si="9"/>
        <v>377178292.45506835</v>
      </c>
      <c r="Q12" s="80">
        <f>COUNTIF('CHIRP Payment Calc'!H:H,A12)</f>
        <v>3</v>
      </c>
    </row>
    <row r="13" spans="1:17">
      <c r="A13" s="75" t="s">
        <v>3017</v>
      </c>
      <c r="B13" s="76">
        <f>SUMIF('CHIRP Payment Calc'!H:H,A13,'CHIRP Payment Calc'!L:L)</f>
        <v>230836363.50319752</v>
      </c>
      <c r="C13" s="76">
        <f>SUMIF('CHIRP Payment Calc'!H:H,A13,'CHIRP Payment Calc'!M:M)</f>
        <v>91046423.752949059</v>
      </c>
      <c r="D13" s="76">
        <f>SUMIF('CHIRP Payment Calc'!H:H,A13,'CHIRP Payment Calc'!N:N)</f>
        <v>321882787.25614655</v>
      </c>
      <c r="E13" s="76">
        <f>SUMIF('CHIRP Payment Calc'!H:H,A13,'CHIRP Payment Calc'!I:I)</f>
        <v>137503446.05691686</v>
      </c>
      <c r="F13" s="76">
        <f>SUMIF('CHIRP Payment Calc'!H:H,A13,'CHIRP Payment Calc'!J:J)</f>
        <v>64116748.631856672</v>
      </c>
      <c r="G13" s="76">
        <f>SUMIF('CHIRP Payment Calc'!H:H,A13,'CHIRP Payment Calc'!K:K)</f>
        <v>201620194.68877354</v>
      </c>
      <c r="H13" s="77">
        <f t="shared" si="5"/>
        <v>1.68</v>
      </c>
      <c r="I13" s="77">
        <f t="shared" si="6"/>
        <v>1.42</v>
      </c>
      <c r="J13" s="78">
        <f t="shared" si="3"/>
        <v>231005789.37562034</v>
      </c>
      <c r="K13" s="78">
        <f t="shared" si="4"/>
        <v>91045783.057236478</v>
      </c>
      <c r="L13" s="78">
        <f t="shared" si="7"/>
        <v>322051572.4328568</v>
      </c>
      <c r="M13" s="78">
        <f>SUMIF('CHIRP Payment Calc'!H:H,A13,'CHIRP Payment Calc'!AJ:AJ)</f>
        <v>145384398.60099748</v>
      </c>
      <c r="N13" s="78">
        <f>SUMIF('CHIRP Payment Calc'!H:H,A13,'CHIRP Payment Calc'!AK:AK)</f>
        <v>45098816.797318541</v>
      </c>
      <c r="O13" s="76">
        <f t="shared" si="8"/>
        <v>190483215.39831603</v>
      </c>
      <c r="P13" s="78">
        <f t="shared" si="9"/>
        <v>512534787.83117282</v>
      </c>
      <c r="Q13" s="80">
        <f>COUNTIF('CHIRP Payment Calc'!H:H,A13)</f>
        <v>31</v>
      </c>
    </row>
    <row r="14" spans="1:17">
      <c r="A14" s="75" t="s">
        <v>3009</v>
      </c>
      <c r="B14" s="76">
        <f>SUMIF('CHIRP Payment Calc'!H:H,A14,'CHIRP Payment Calc'!L:L)</f>
        <v>90433868.423790842</v>
      </c>
      <c r="C14" s="76">
        <f>SUMIF('CHIRP Payment Calc'!H:H,A14,'CHIRP Payment Calc'!M:M)</f>
        <v>8607310.1742483824</v>
      </c>
      <c r="D14" s="76">
        <f>SUMIF('CHIRP Payment Calc'!H:H,A14,'CHIRP Payment Calc'!N:N)</f>
        <v>99041178.598039225</v>
      </c>
      <c r="E14" s="76">
        <f>SUMIF('CHIRP Payment Calc'!H:H,A14,'CHIRP Payment Calc'!I:I)</f>
        <v>110141720.84524745</v>
      </c>
      <c r="F14" s="76">
        <f>SUMIF('CHIRP Payment Calc'!H:H,A14,'CHIRP Payment Calc'!J:J)</f>
        <v>99360253.850774556</v>
      </c>
      <c r="G14" s="76">
        <f>SUMIF('CHIRP Payment Calc'!H:H,A14,'CHIRP Payment Calc'!K:K)</f>
        <v>209501974.696022</v>
      </c>
      <c r="H14" s="77">
        <f t="shared" si="5"/>
        <v>0.82</v>
      </c>
      <c r="I14" s="77">
        <f t="shared" si="6"/>
        <v>0.09</v>
      </c>
      <c r="J14" s="78">
        <f t="shared" si="3"/>
        <v>90316211.093102902</v>
      </c>
      <c r="K14" s="78">
        <f t="shared" si="4"/>
        <v>8942422.8465697095</v>
      </c>
      <c r="L14" s="78">
        <f t="shared" si="7"/>
        <v>99258633.939672619</v>
      </c>
      <c r="M14" s="78">
        <f>SUMIF('CHIRP Payment Calc'!H:H,A14,'CHIRP Payment Calc'!AJ:AJ)</f>
        <v>158604078.01715633</v>
      </c>
      <c r="N14" s="78">
        <f>SUMIF('CHIRP Payment Calc'!H:H,A14,'CHIRP Payment Calc'!AK:AK)</f>
        <v>72532985.311065421</v>
      </c>
      <c r="O14" s="76">
        <f t="shared" si="8"/>
        <v>231137063.32822174</v>
      </c>
      <c r="P14" s="78">
        <f t="shared" si="9"/>
        <v>330395697.26789439</v>
      </c>
      <c r="Q14" s="80">
        <f>COUNTIF('CHIRP Payment Calc'!H:H,A14)</f>
        <v>2</v>
      </c>
    </row>
    <row r="15" spans="1:17" s="11" customFormat="1">
      <c r="A15" s="115" t="s">
        <v>3018</v>
      </c>
      <c r="B15" s="116">
        <f>SUMIF('CHIRP Payment Calc'!H:H,A15,'CHIRP Payment Calc'!L:L)</f>
        <v>-33817672.388749994</v>
      </c>
      <c r="C15" s="116">
        <f>SUMIF('CHIRP Payment Calc'!H:H,A15,'CHIRP Payment Calc'!M:M)</f>
        <v>28416737.208750002</v>
      </c>
      <c r="D15" s="116">
        <f>SUMIF('CHIRP Payment Calc'!H:H,A15,'CHIRP Payment Calc'!N:N)</f>
        <v>-5400935.1799999913</v>
      </c>
      <c r="E15" s="116">
        <f>SUMIF('CHIRP Payment Calc'!H:H,A15,'CHIRP Payment Calc'!I:I)</f>
        <v>48222653.92604243</v>
      </c>
      <c r="F15" s="116">
        <f>SUMIF('CHIRP Payment Calc'!H:H,A15,'CHIRP Payment Calc'!J:J)</f>
        <v>29755724.823192079</v>
      </c>
      <c r="G15" s="116">
        <f>SUMIF('CHIRP Payment Calc'!H:H,A15,'CHIRP Payment Calc'!K:K)</f>
        <v>77978378.749234498</v>
      </c>
      <c r="H15" s="77">
        <f t="shared" si="5"/>
        <v>0</v>
      </c>
      <c r="I15" s="77">
        <f t="shared" si="6"/>
        <v>0.96</v>
      </c>
      <c r="J15" s="117">
        <f t="shared" si="3"/>
        <v>0</v>
      </c>
      <c r="K15" s="117">
        <f t="shared" si="4"/>
        <v>28565495.830264393</v>
      </c>
      <c r="L15" s="78">
        <f t="shared" si="7"/>
        <v>28565495.830264393</v>
      </c>
      <c r="M15" s="78">
        <f>SUMIF('CHIRP Payment Calc'!H:H,A15,'CHIRP Payment Calc'!AJ:AJ)</f>
        <v>9050898.9941468872</v>
      </c>
      <c r="N15" s="78">
        <f>SUMIF('CHIRP Payment Calc'!H:H,A15,'CHIRP Payment Calc'!AK:AK)</f>
        <v>22597043.967647858</v>
      </c>
      <c r="O15" s="76">
        <f t="shared" si="8"/>
        <v>31647942.961794745</v>
      </c>
      <c r="P15" s="78">
        <f t="shared" si="9"/>
        <v>60213438.792059138</v>
      </c>
      <c r="Q15" s="118">
        <f>COUNTIF('CHIRP Payment Calc'!H:H,A15)</f>
        <v>6</v>
      </c>
    </row>
    <row r="16" spans="1:17">
      <c r="A16" s="75" t="s">
        <v>3019</v>
      </c>
      <c r="B16" s="76">
        <f>SUMIF('CHIRP Payment Calc'!H:H,A16,'CHIRP Payment Calc'!L:L)</f>
        <v>31052071.822019141</v>
      </c>
      <c r="C16" s="76">
        <f>SUMIF('CHIRP Payment Calc'!H:H,A16,'CHIRP Payment Calc'!M:M)</f>
        <v>26101172.72549054</v>
      </c>
      <c r="D16" s="76">
        <f>SUMIF('CHIRP Payment Calc'!H:H,A16,'CHIRP Payment Calc'!N:N)</f>
        <v>57153244.547509678</v>
      </c>
      <c r="E16" s="76">
        <f>SUMIF('CHIRP Payment Calc'!H:H,A16,'CHIRP Payment Calc'!I:I)</f>
        <v>47264780.945549153</v>
      </c>
      <c r="F16" s="76">
        <f>SUMIF('CHIRP Payment Calc'!H:H,A16,'CHIRP Payment Calc'!J:J)</f>
        <v>17462347.687401149</v>
      </c>
      <c r="G16" s="76">
        <f>SUMIF('CHIRP Payment Calc'!H:H,A16,'CHIRP Payment Calc'!K:K)</f>
        <v>64727128.632950306</v>
      </c>
      <c r="H16" s="77">
        <f t="shared" si="5"/>
        <v>0.66</v>
      </c>
      <c r="I16" s="77">
        <f t="shared" si="6"/>
        <v>1.49</v>
      </c>
      <c r="J16" s="78">
        <f t="shared" si="3"/>
        <v>31194755.424062442</v>
      </c>
      <c r="K16" s="78">
        <f t="shared" si="4"/>
        <v>26018898.054227713</v>
      </c>
      <c r="L16" s="78">
        <f t="shared" si="7"/>
        <v>57213653.478290156</v>
      </c>
      <c r="M16" s="78">
        <f>SUMIF('CHIRP Payment Calc'!H:H,A16,'CHIRP Payment Calc'!AJ:AJ)</f>
        <v>36859633.106131539</v>
      </c>
      <c r="N16" s="78">
        <f>SUMIF('CHIRP Payment Calc'!H:H,A16,'CHIRP Payment Calc'!AK:AK)</f>
        <v>8143760.003210959</v>
      </c>
      <c r="O16" s="76">
        <f t="shared" si="8"/>
        <v>45003393.109342501</v>
      </c>
      <c r="P16" s="78">
        <f t="shared" si="9"/>
        <v>102217046.58763266</v>
      </c>
      <c r="Q16" s="80">
        <f>COUNTIF('CHIRP Payment Calc'!H:H,A16)</f>
        <v>5</v>
      </c>
    </row>
    <row r="17" spans="1:17">
      <c r="A17" s="75" t="s">
        <v>3020</v>
      </c>
      <c r="B17" s="76">
        <f>SUMIF('CHIRP Payment Calc'!H:H,A17,'CHIRP Payment Calc'!L:L)</f>
        <v>25586826.369058263</v>
      </c>
      <c r="C17" s="76">
        <f>SUMIF('CHIRP Payment Calc'!H:H,A17,'CHIRP Payment Calc'!M:M)</f>
        <v>29886995.762025818</v>
      </c>
      <c r="D17" s="76">
        <f>SUMIF('CHIRP Payment Calc'!H:H,A17,'CHIRP Payment Calc'!N:N)</f>
        <v>55473822.131084077</v>
      </c>
      <c r="E17" s="76">
        <f>SUMIF('CHIRP Payment Calc'!H:H,A17,'CHIRP Payment Calc'!I:I)</f>
        <v>53841284.198038906</v>
      </c>
      <c r="F17" s="76">
        <f>SUMIF('CHIRP Payment Calc'!H:H,A17,'CHIRP Payment Calc'!J:J)</f>
        <v>32502462.160426937</v>
      </c>
      <c r="G17" s="76">
        <f>SUMIF('CHIRP Payment Calc'!H:H,A17,'CHIRP Payment Calc'!K:K)</f>
        <v>86343746.35846585</v>
      </c>
      <c r="H17" s="77">
        <f t="shared" si="5"/>
        <v>0.48</v>
      </c>
      <c r="I17" s="77">
        <f t="shared" si="6"/>
        <v>0.92</v>
      </c>
      <c r="J17" s="78">
        <f t="shared" si="3"/>
        <v>25843816.415058672</v>
      </c>
      <c r="K17" s="78">
        <f t="shared" si="4"/>
        <v>29902265.187592782</v>
      </c>
      <c r="L17" s="78">
        <f t="shared" si="7"/>
        <v>55746081.602651455</v>
      </c>
      <c r="M17" s="78">
        <f>SUMIF('CHIRP Payment Calc'!H:H,A17,'CHIRP Payment Calc'!AJ:AJ)</f>
        <v>80274834.595830068</v>
      </c>
      <c r="N17" s="78">
        <f>SUMIF('CHIRP Payment Calc'!H:H,A17,'CHIRP Payment Calc'!AK:AK)</f>
        <v>23563639.574151579</v>
      </c>
      <c r="O17" s="76">
        <f t="shared" si="8"/>
        <v>103838474.16998164</v>
      </c>
      <c r="P17" s="78">
        <f t="shared" si="9"/>
        <v>159584555.77263311</v>
      </c>
      <c r="Q17" s="80">
        <f>COUNTIF('CHIRP Payment Calc'!H:H,A17)</f>
        <v>8</v>
      </c>
    </row>
    <row r="18" spans="1:17">
      <c r="A18" s="75" t="s">
        <v>3021</v>
      </c>
      <c r="B18" s="76">
        <f>SUMIF('CHIRP Payment Calc'!H:H,A18,'CHIRP Payment Calc'!L:L)</f>
        <v>65711264.134004615</v>
      </c>
      <c r="C18" s="76">
        <f>SUMIF('CHIRP Payment Calc'!H:H,A18,'CHIRP Payment Calc'!M:M)</f>
        <v>48347523.356098957</v>
      </c>
      <c r="D18" s="76">
        <f>SUMIF('CHIRP Payment Calc'!H:H,A18,'CHIRP Payment Calc'!N:N)</f>
        <v>114058787.49010359</v>
      </c>
      <c r="E18" s="76">
        <f>SUMIF('CHIRP Payment Calc'!H:H,A18,'CHIRP Payment Calc'!I:I)</f>
        <v>87791579.061952963</v>
      </c>
      <c r="F18" s="76">
        <f>SUMIF('CHIRP Payment Calc'!H:H,A18,'CHIRP Payment Calc'!J:J)</f>
        <v>26457194.290067699</v>
      </c>
      <c r="G18" s="76">
        <f>SUMIF('CHIRP Payment Calc'!H:H,A18,'CHIRP Payment Calc'!K:K)</f>
        <v>114248773.35202068</v>
      </c>
      <c r="H18" s="77">
        <f t="shared" si="5"/>
        <v>0.75</v>
      </c>
      <c r="I18" s="77">
        <f t="shared" si="6"/>
        <v>1.83</v>
      </c>
      <c r="J18" s="78">
        <f t="shared" si="3"/>
        <v>65843684.296464726</v>
      </c>
      <c r="K18" s="78">
        <f t="shared" si="4"/>
        <v>48416665.55082389</v>
      </c>
      <c r="L18" s="78">
        <f t="shared" si="7"/>
        <v>114260349.84728861</v>
      </c>
      <c r="M18" s="78">
        <f>SUMIF('CHIRP Payment Calc'!H:H,A18,'CHIRP Payment Calc'!AJ:AJ)</f>
        <v>103063295.24051693</v>
      </c>
      <c r="N18" s="78">
        <f>SUMIF('CHIRP Payment Calc'!H:H,A18,'CHIRP Payment Calc'!AK:AK)</f>
        <v>7075536.455733154</v>
      </c>
      <c r="O18" s="76">
        <f t="shared" si="8"/>
        <v>110138831.69625008</v>
      </c>
      <c r="P18" s="78">
        <f t="shared" si="9"/>
        <v>224399181.54353869</v>
      </c>
      <c r="Q18" s="80">
        <f>COUNTIF('CHIRP Payment Calc'!H:H,A18)</f>
        <v>20</v>
      </c>
    </row>
    <row r="19" spans="1:17">
      <c r="A19" s="75" t="s">
        <v>3008</v>
      </c>
      <c r="B19" s="76">
        <f>SUMIF('CHIRP Payment Calc'!H:H,A19,'CHIRP Payment Calc'!L:L)</f>
        <v>200457984.71999997</v>
      </c>
      <c r="C19" s="76">
        <f>SUMIF('CHIRP Payment Calc'!H:H,A19,'CHIRP Payment Calc'!M:M)</f>
        <v>51060004.049999997</v>
      </c>
      <c r="D19" s="76">
        <f>SUMIF('CHIRP Payment Calc'!H:H,A19,'CHIRP Payment Calc'!N:N)</f>
        <v>251517988.76999998</v>
      </c>
      <c r="E19" s="76">
        <f>SUMIF('CHIRP Payment Calc'!H:H,A19,'CHIRP Payment Calc'!I:I)</f>
        <v>69091979.524985224</v>
      </c>
      <c r="F19" s="76">
        <f>SUMIF('CHIRP Payment Calc'!H:H,A19,'CHIRP Payment Calc'!J:J)</f>
        <v>81877843.97228919</v>
      </c>
      <c r="G19" s="76">
        <f>SUMIF('CHIRP Payment Calc'!H:H,A19,'CHIRP Payment Calc'!K:K)</f>
        <v>150969823.4972744</v>
      </c>
      <c r="H19" s="77">
        <f t="shared" si="5"/>
        <v>2.9</v>
      </c>
      <c r="I19" s="77">
        <f t="shared" si="6"/>
        <v>0.62</v>
      </c>
      <c r="J19" s="78">
        <f t="shared" si="3"/>
        <v>200366740.62245715</v>
      </c>
      <c r="K19" s="78">
        <f t="shared" si="4"/>
        <v>50764263.262819298</v>
      </c>
      <c r="L19" s="78">
        <f t="shared" si="7"/>
        <v>251131003.88527644</v>
      </c>
      <c r="M19" s="78">
        <f>SUMIF('CHIRP Payment Calc'!H:H,A19,'CHIRP Payment Calc'!AJ:AJ)</f>
        <v>0</v>
      </c>
      <c r="N19" s="78">
        <f>SUMIF('CHIRP Payment Calc'!H:H,A19,'CHIRP Payment Calc'!AK:AK)</f>
        <v>0</v>
      </c>
      <c r="O19" s="76">
        <f t="shared" si="8"/>
        <v>0</v>
      </c>
      <c r="P19" s="78">
        <f t="shared" si="9"/>
        <v>251131003.88527644</v>
      </c>
      <c r="Q19" s="80">
        <f>COUNTIF('CHIRP Payment Calc'!H:H,A19)</f>
        <v>1</v>
      </c>
    </row>
    <row r="20" spans="1:17">
      <c r="A20" s="75" t="s">
        <v>3022</v>
      </c>
      <c r="B20" s="76">
        <f>SUMIF('CHIRP Payment Calc'!H:H,A20,'CHIRP Payment Calc'!L:L)</f>
        <v>50533124.678478248</v>
      </c>
      <c r="C20" s="76">
        <f>SUMIF('CHIRP Payment Calc'!H:H,A20,'CHIRP Payment Calc'!M:M)</f>
        <v>52447536.729265407</v>
      </c>
      <c r="D20" s="76">
        <f>SUMIF('CHIRP Payment Calc'!H:H,A20,'CHIRP Payment Calc'!N:N)</f>
        <v>102980661.40774366</v>
      </c>
      <c r="E20" s="76">
        <f>SUMIF('CHIRP Payment Calc'!H:H,A20,'CHIRP Payment Calc'!I:I)</f>
        <v>63822103.401848741</v>
      </c>
      <c r="F20" s="76">
        <f>SUMIF('CHIRP Payment Calc'!H:H,A20,'CHIRP Payment Calc'!J:J)</f>
        <v>43662713.988642573</v>
      </c>
      <c r="G20" s="76">
        <f>SUMIF('CHIRP Payment Calc'!H:H,A20,'CHIRP Payment Calc'!K:K)</f>
        <v>107484817.39049131</v>
      </c>
      <c r="H20" s="77">
        <f t="shared" si="5"/>
        <v>0.79</v>
      </c>
      <c r="I20" s="77">
        <f t="shared" si="6"/>
        <v>1.2</v>
      </c>
      <c r="J20" s="78">
        <f t="shared" si="3"/>
        <v>50419461.687460504</v>
      </c>
      <c r="K20" s="78">
        <f t="shared" si="4"/>
        <v>52395256.78637109</v>
      </c>
      <c r="L20" s="78">
        <f t="shared" si="7"/>
        <v>102814718.47383159</v>
      </c>
      <c r="M20" s="78">
        <f>SUMIF('CHIRP Payment Calc'!H:H,A20,'CHIRP Payment Calc'!AJ:AJ)</f>
        <v>61940236.172479704</v>
      </c>
      <c r="N20" s="78">
        <f>SUMIF('CHIRP Payment Calc'!H:H,A20,'CHIRP Payment Calc'!AK:AK)</f>
        <v>30602712.325303551</v>
      </c>
      <c r="O20" s="76">
        <f t="shared" si="8"/>
        <v>92542948.497783259</v>
      </c>
      <c r="P20" s="78">
        <f t="shared" si="9"/>
        <v>195357666.97161484</v>
      </c>
      <c r="Q20" s="80">
        <f>COUNTIF('CHIRP Payment Calc'!H:H,A20)</f>
        <v>13</v>
      </c>
    </row>
    <row r="21" spans="1:17">
      <c r="A21" s="75" t="s">
        <v>3023</v>
      </c>
      <c r="B21" s="76">
        <f>SUMIF('CHIRP Payment Calc'!H:H,A21,'CHIRP Payment Calc'!L:L)</f>
        <v>24505620.193733227</v>
      </c>
      <c r="C21" s="76">
        <f>SUMIF('CHIRP Payment Calc'!H:H,A21,'CHIRP Payment Calc'!M:M)</f>
        <v>43740486.557127073</v>
      </c>
      <c r="D21" s="76">
        <f>SUMIF('CHIRP Payment Calc'!H:H,A21,'CHIRP Payment Calc'!N:N)</f>
        <v>68246106.750860304</v>
      </c>
      <c r="E21" s="76">
        <f>SUMIF('CHIRP Payment Calc'!H:H,A21,'CHIRP Payment Calc'!I:I)</f>
        <v>56792633.956827812</v>
      </c>
      <c r="F21" s="76">
        <f>SUMIF('CHIRP Payment Calc'!H:H,A21,'CHIRP Payment Calc'!J:J)</f>
        <v>37046579.938290291</v>
      </c>
      <c r="G21" s="76">
        <f>SUMIF('CHIRP Payment Calc'!H:H,A21,'CHIRP Payment Calc'!K:K)</f>
        <v>93839213.895118102</v>
      </c>
      <c r="H21" s="77">
        <f t="shared" si="5"/>
        <v>0.43</v>
      </c>
      <c r="I21" s="77">
        <f t="shared" si="6"/>
        <v>1.18</v>
      </c>
      <c r="J21" s="78">
        <f t="shared" si="3"/>
        <v>24420832.601435959</v>
      </c>
      <c r="K21" s="78">
        <f t="shared" si="4"/>
        <v>43714964.327182539</v>
      </c>
      <c r="L21" s="78">
        <f t="shared" si="7"/>
        <v>68135796.928618491</v>
      </c>
      <c r="M21" s="78">
        <f>SUMIF('CHIRP Payment Calc'!H:H,A21,'CHIRP Payment Calc'!AJ:AJ)</f>
        <v>59921277.48752299</v>
      </c>
      <c r="N21" s="78">
        <f>SUMIF('CHIRP Payment Calc'!H:H,A21,'CHIRP Payment Calc'!AK:AK)</f>
        <v>20671588.040002123</v>
      </c>
      <c r="O21" s="76">
        <f t="shared" si="8"/>
        <v>80592865.527525112</v>
      </c>
      <c r="P21" s="78">
        <f t="shared" si="9"/>
        <v>148728662.45614362</v>
      </c>
      <c r="Q21" s="80">
        <f>COUNTIF('CHIRP Payment Calc'!H:H,A21)</f>
        <v>9</v>
      </c>
    </row>
    <row r="22" spans="1:17">
      <c r="A22" s="75" t="s">
        <v>3003</v>
      </c>
      <c r="B22" s="76">
        <f>SUMIF('CHIRP Payment Calc'!H:H,A22,'CHIRP Payment Calc'!L:L)</f>
        <v>5722034.84730158</v>
      </c>
      <c r="C22" s="76">
        <f>SUMIF('CHIRP Payment Calc'!H:H,A22,'CHIRP Payment Calc'!M:M)</f>
        <v>15741769.701111112</v>
      </c>
      <c r="D22" s="76">
        <f>SUMIF('CHIRP Payment Calc'!H:H,A22,'CHIRP Payment Calc'!N:N)</f>
        <v>21463804.548412692</v>
      </c>
      <c r="E22" s="76">
        <f>SUMIF('CHIRP Payment Calc'!H:H,A22,'CHIRP Payment Calc'!I:I)</f>
        <v>65815153.57088694</v>
      </c>
      <c r="F22" s="76">
        <f>SUMIF('CHIRP Payment Calc'!H:H,A22,'CHIRP Payment Calc'!J:J)</f>
        <v>26015046.903575253</v>
      </c>
      <c r="G22" s="76">
        <f>SUMIF('CHIRP Payment Calc'!H:H,A22,'CHIRP Payment Calc'!K:K)</f>
        <v>91830200.474462196</v>
      </c>
      <c r="H22" s="77">
        <f t="shared" si="5"/>
        <v>0.09</v>
      </c>
      <c r="I22" s="77">
        <f t="shared" si="6"/>
        <v>0.61</v>
      </c>
      <c r="J22" s="78">
        <f t="shared" si="3"/>
        <v>5923363.8213798245</v>
      </c>
      <c r="K22" s="78">
        <f t="shared" si="4"/>
        <v>15869178.611180903</v>
      </c>
      <c r="L22" s="78">
        <f t="shared" si="7"/>
        <v>21792542.432560727</v>
      </c>
      <c r="M22" s="78">
        <f>SUMIF('CHIRP Payment Calc'!H:H,A22,'CHIRP Payment Calc'!AJ:AJ)</f>
        <v>36856485.999696687</v>
      </c>
      <c r="N22" s="78">
        <f>SUMIF('CHIRP Payment Calc'!H:H,A22,'CHIRP Payment Calc'!AK:AK)</f>
        <v>21592488.929967459</v>
      </c>
      <c r="O22" s="76">
        <f t="shared" si="8"/>
        <v>58448974.92966415</v>
      </c>
      <c r="P22" s="78">
        <f t="shared" si="9"/>
        <v>80241517.362224877</v>
      </c>
      <c r="Q22" s="80">
        <f>COUNTIF('CHIRP Payment Calc'!H:H,A22)</f>
        <v>1</v>
      </c>
    </row>
    <row r="23" spans="1:17">
      <c r="A23" s="75" t="s">
        <v>3010</v>
      </c>
      <c r="B23" s="76">
        <f>SUMIF('CHIRP Payment Calc'!H:H,A23,'CHIRP Payment Calc'!L:L)</f>
        <v>-17623862.554690272</v>
      </c>
      <c r="C23" s="76">
        <f>SUMIF('CHIRP Payment Calc'!H:H,A23,'CHIRP Payment Calc'!M:M)</f>
        <v>8568432.4812389389</v>
      </c>
      <c r="D23" s="76">
        <f>SUMIF('CHIRP Payment Calc'!H:H,A23,'CHIRP Payment Calc'!N:N)</f>
        <v>-9055430.0734513327</v>
      </c>
      <c r="E23" s="76">
        <f>SUMIF('CHIRP Payment Calc'!H:H,A23,'CHIRP Payment Calc'!I:I)</f>
        <v>60706957.693749629</v>
      </c>
      <c r="F23" s="76">
        <f>SUMIF('CHIRP Payment Calc'!H:H,A23,'CHIRP Payment Calc'!J:J)</f>
        <v>23102950.190736581</v>
      </c>
      <c r="G23" s="76">
        <f>SUMIF('CHIRP Payment Calc'!H:H,A23,'CHIRP Payment Calc'!K:K)</f>
        <v>83809907.884486213</v>
      </c>
      <c r="H23" s="77">
        <f t="shared" si="5"/>
        <v>0</v>
      </c>
      <c r="I23" s="77">
        <f t="shared" si="6"/>
        <v>0.37</v>
      </c>
      <c r="J23" s="78">
        <f t="shared" si="3"/>
        <v>0</v>
      </c>
      <c r="K23" s="78">
        <f t="shared" si="4"/>
        <v>8548091.5705725346</v>
      </c>
      <c r="L23" s="78">
        <f t="shared" si="7"/>
        <v>8548091.5705725346</v>
      </c>
      <c r="M23" s="78">
        <f>SUMIF('CHIRP Payment Calc'!H:H,A23,'CHIRP Payment Calc'!AJ:AJ)</f>
        <v>96524062.73306191</v>
      </c>
      <c r="N23" s="78">
        <f>SUMIF('CHIRP Payment Calc'!H:H,A23,'CHIRP Payment Calc'!AK:AK)</f>
        <v>27954569.730791263</v>
      </c>
      <c r="O23" s="76">
        <f t="shared" si="8"/>
        <v>124478632.46385318</v>
      </c>
      <c r="P23" s="78">
        <f t="shared" si="9"/>
        <v>133026724.03442572</v>
      </c>
      <c r="Q23" s="80">
        <f>COUNTIF('CHIRP Payment Calc'!H:H,A23)</f>
        <v>1</v>
      </c>
    </row>
    <row r="24" spans="1:17">
      <c r="A24" s="75" t="s">
        <v>3024</v>
      </c>
      <c r="B24" s="76">
        <f>SUMIF('CHIRP Payment Calc'!H:H,A24,'CHIRP Payment Calc'!L:L)</f>
        <v>26639726.412663758</v>
      </c>
      <c r="C24" s="76">
        <f>SUMIF('CHIRP Payment Calc'!H:H,A24,'CHIRP Payment Calc'!M:M)</f>
        <v>25530753.49100437</v>
      </c>
      <c r="D24" s="76">
        <f>SUMIF('CHIRP Payment Calc'!H:H,A24,'CHIRP Payment Calc'!N:N)</f>
        <v>52170479.903668121</v>
      </c>
      <c r="E24" s="76">
        <f>SUMIF('CHIRP Payment Calc'!H:H,A24,'CHIRP Payment Calc'!I:I)</f>
        <v>19839904.521196306</v>
      </c>
      <c r="F24" s="76">
        <f>SUMIF('CHIRP Payment Calc'!H:H,A24,'CHIRP Payment Calc'!J:J)</f>
        <v>14983649.522170126</v>
      </c>
      <c r="G24" s="76">
        <f>SUMIF('CHIRP Payment Calc'!H:H,A24,'CHIRP Payment Calc'!K:K)</f>
        <v>34823554.043366432</v>
      </c>
      <c r="H24" s="77">
        <f t="shared" si="5"/>
        <v>1.34</v>
      </c>
      <c r="I24" s="77">
        <f t="shared" si="6"/>
        <v>1.7</v>
      </c>
      <c r="J24" s="78">
        <f t="shared" si="3"/>
        <v>26585472.058403052</v>
      </c>
      <c r="K24" s="78">
        <f t="shared" si="4"/>
        <v>25472204.187689215</v>
      </c>
      <c r="L24" s="78">
        <f t="shared" si="7"/>
        <v>52057676.246092267</v>
      </c>
      <c r="M24" s="78">
        <f>SUMIF('CHIRP Payment Calc'!H:H,A24,'CHIRP Payment Calc'!AJ:AJ)</f>
        <v>10913906.079576114</v>
      </c>
      <c r="N24" s="78">
        <f>SUMIF('CHIRP Payment Calc'!H:H,A24,'CHIRP Payment Calc'!AK:AK)</f>
        <v>5842792.588940423</v>
      </c>
      <c r="O24" s="76">
        <f t="shared" si="8"/>
        <v>16756698.668516537</v>
      </c>
      <c r="P24" s="78">
        <f t="shared" si="9"/>
        <v>68814374.914608806</v>
      </c>
      <c r="Q24" s="80">
        <f>COUNTIF('CHIRP Payment Calc'!H:H,A24)</f>
        <v>4</v>
      </c>
    </row>
    <row r="25" spans="1:17">
      <c r="A25" s="75" t="s">
        <v>3007</v>
      </c>
      <c r="B25" s="76">
        <f>SUMIF('CHIRP Payment Calc'!H:H,A25,'CHIRP Payment Calc'!L:L)</f>
        <v>20987647.937966101</v>
      </c>
      <c r="C25" s="76">
        <f>SUMIF('CHIRP Payment Calc'!H:H,A25,'CHIRP Payment Calc'!M:M)</f>
        <v>12237124.342372883</v>
      </c>
      <c r="D25" s="76">
        <f>SUMIF('CHIRP Payment Calc'!H:H,A25,'CHIRP Payment Calc'!N:N)</f>
        <v>33224772.280338984</v>
      </c>
      <c r="E25" s="76">
        <f>SUMIF('CHIRP Payment Calc'!H:H,A25,'CHIRP Payment Calc'!I:I)</f>
        <v>26741810.36009166</v>
      </c>
      <c r="F25" s="76">
        <f>SUMIF('CHIRP Payment Calc'!H:H,A25,'CHIRP Payment Calc'!J:J)</f>
        <v>7796302.4529058887</v>
      </c>
      <c r="G25" s="76">
        <f>SUMIF('CHIRP Payment Calc'!H:H,A25,'CHIRP Payment Calc'!K:K)</f>
        <v>34538112.81299755</v>
      </c>
      <c r="H25" s="77">
        <f t="shared" si="5"/>
        <v>0.78</v>
      </c>
      <c r="I25" s="77">
        <f t="shared" si="6"/>
        <v>1.57</v>
      </c>
      <c r="J25" s="78">
        <f t="shared" si="3"/>
        <v>20858612.080871496</v>
      </c>
      <c r="K25" s="78">
        <f t="shared" si="4"/>
        <v>12240194.851062246</v>
      </c>
      <c r="L25" s="78">
        <f t="shared" si="7"/>
        <v>33098806.931933742</v>
      </c>
      <c r="M25" s="78">
        <f>SUMIF('CHIRP Payment Calc'!H:H,A25,'CHIRP Payment Calc'!AJ:AJ)</f>
        <v>0</v>
      </c>
      <c r="N25" s="78">
        <f>SUMIF('CHIRP Payment Calc'!H:H,A25,'CHIRP Payment Calc'!AK:AK)</f>
        <v>11772416.703887893</v>
      </c>
      <c r="O25" s="76">
        <f t="shared" si="8"/>
        <v>11772416.703887893</v>
      </c>
      <c r="P25" s="78">
        <f t="shared" si="9"/>
        <v>44871223.635821633</v>
      </c>
      <c r="Q25" s="80">
        <f>COUNTIF('CHIRP Payment Calc'!H:H,A25)</f>
        <v>1</v>
      </c>
    </row>
    <row r="26" spans="1:17">
      <c r="A26" s="75" t="s">
        <v>3005</v>
      </c>
      <c r="B26" s="76">
        <f>SUMIF('CHIRP Payment Calc'!H:H,A26,'CHIRP Payment Calc'!L:L)</f>
        <v>637335.33675159141</v>
      </c>
      <c r="C26" s="76">
        <f>SUMIF('CHIRP Payment Calc'!H:H,A26,'CHIRP Payment Calc'!M:M)</f>
        <v>3531383.07433121</v>
      </c>
      <c r="D26" s="76">
        <f>SUMIF('CHIRP Payment Calc'!H:H,A26,'CHIRP Payment Calc'!N:N)</f>
        <v>4168718.4110828014</v>
      </c>
      <c r="E26" s="76">
        <f>SUMIF('CHIRP Payment Calc'!H:H,A26,'CHIRP Payment Calc'!I:I)</f>
        <v>25373903.27981877</v>
      </c>
      <c r="F26" s="76">
        <f>SUMIF('CHIRP Payment Calc'!H:H,A26,'CHIRP Payment Calc'!J:J)</f>
        <v>5861281.7002942692</v>
      </c>
      <c r="G26" s="76">
        <f>SUMIF('CHIRP Payment Calc'!H:H,A26,'CHIRP Payment Calc'!K:K)</f>
        <v>31235184.980113037</v>
      </c>
      <c r="H26" s="77">
        <f t="shared" si="5"/>
        <v>0.03</v>
      </c>
      <c r="I26" s="77">
        <f t="shared" si="6"/>
        <v>0.6</v>
      </c>
      <c r="J26" s="78">
        <f t="shared" si="3"/>
        <v>761217.09839456307</v>
      </c>
      <c r="K26" s="78">
        <f t="shared" si="4"/>
        <v>3516769.0201765615</v>
      </c>
      <c r="L26" s="78">
        <f t="shared" si="7"/>
        <v>4277986.118571125</v>
      </c>
      <c r="M26" s="78">
        <f>SUMIF('CHIRP Payment Calc'!H:H,A26,'CHIRP Payment Calc'!AJ:AJ)</f>
        <v>10910778.41032207</v>
      </c>
      <c r="N26" s="78">
        <f>SUMIF('CHIRP Payment Calc'!H:H,A26,'CHIRP Payment Calc'!AK:AK)</f>
        <v>7971343.1124002067</v>
      </c>
      <c r="O26" s="76">
        <f t="shared" si="8"/>
        <v>18882121.522722278</v>
      </c>
      <c r="P26" s="78">
        <f t="shared" si="9"/>
        <v>23160107.641293403</v>
      </c>
      <c r="Q26" s="80">
        <f>COUNTIF('CHIRP Payment Calc'!H:H,A26)</f>
        <v>1</v>
      </c>
    </row>
    <row r="27" spans="1:17">
      <c r="A27" s="75" t="s">
        <v>3025</v>
      </c>
      <c r="B27" s="76">
        <f>SUMIF('CHIRP Payment Calc'!H:H,A27,'CHIRP Payment Calc'!L:L)</f>
        <v>17081417.992088351</v>
      </c>
      <c r="C27" s="76">
        <f>SUMIF('CHIRP Payment Calc'!H:H,A27,'CHIRP Payment Calc'!M:M)</f>
        <v>9555182.0240160637</v>
      </c>
      <c r="D27" s="76">
        <f>SUMIF('CHIRP Payment Calc'!H:H,A27,'CHIRP Payment Calc'!N:N)</f>
        <v>26636600.016104415</v>
      </c>
      <c r="E27" s="76">
        <f>SUMIF('CHIRP Payment Calc'!H:H,A27,'CHIRP Payment Calc'!I:I)</f>
        <v>25623426.557137191</v>
      </c>
      <c r="F27" s="76">
        <f>SUMIF('CHIRP Payment Calc'!H:H,A27,'CHIRP Payment Calc'!J:J)</f>
        <v>5477233.1539729591</v>
      </c>
      <c r="G27" s="76">
        <f>SUMIF('CHIRP Payment Calc'!H:H,A27,'CHIRP Payment Calc'!K:K)</f>
        <v>31100659.711110152</v>
      </c>
      <c r="H27" s="77">
        <f t="shared" si="5"/>
        <v>0.67</v>
      </c>
      <c r="I27" s="77">
        <f t="shared" si="6"/>
        <v>1.74</v>
      </c>
      <c r="J27" s="78">
        <f t="shared" si="3"/>
        <v>17167695.79328192</v>
      </c>
      <c r="K27" s="78">
        <f t="shared" si="4"/>
        <v>9530385.6879129484</v>
      </c>
      <c r="L27" s="78">
        <f t="shared" si="7"/>
        <v>26698081.481194869</v>
      </c>
      <c r="M27" s="78">
        <f>SUMIF('CHIRP Payment Calc'!H:H,A27,'CHIRP Payment Calc'!AJ:AJ)</f>
        <v>14349118.871996829</v>
      </c>
      <c r="N27" s="78">
        <f>SUMIF('CHIRP Payment Calc'!H:H,A27,'CHIRP Payment Calc'!AK:AK)</f>
        <v>4819965.1754962038</v>
      </c>
      <c r="O27" s="76">
        <f t="shared" si="8"/>
        <v>19169084.047493033</v>
      </c>
      <c r="P27" s="78">
        <f t="shared" si="9"/>
        <v>45867165.528687902</v>
      </c>
      <c r="Q27" s="80">
        <f>COUNTIF('CHIRP Payment Calc'!H:H,A27)</f>
        <v>1</v>
      </c>
    </row>
    <row r="28" spans="1:17">
      <c r="A28" s="75" t="s">
        <v>3026</v>
      </c>
      <c r="B28" s="76">
        <f>SUMIF('CHIRP Payment Calc'!H:H,A28,'CHIRP Payment Calc'!L:L)</f>
        <v>833549.57999999984</v>
      </c>
      <c r="C28" s="76">
        <f>SUMIF('CHIRP Payment Calc'!H:H,A28,'CHIRP Payment Calc'!M:M)</f>
        <v>3640364.629999999</v>
      </c>
      <c r="D28" s="76">
        <f>SUMIF('CHIRP Payment Calc'!H:H,A28,'CHIRP Payment Calc'!N:N)</f>
        <v>4473914.209999999</v>
      </c>
      <c r="E28" s="76">
        <f>SUMIF('CHIRP Payment Calc'!H:H,A28,'CHIRP Payment Calc'!I:I)</f>
        <v>2897767.2483240105</v>
      </c>
      <c r="F28" s="76">
        <f>SUMIF('CHIRP Payment Calc'!H:H,A28,'CHIRP Payment Calc'!J:J)</f>
        <v>6849308.7257672027</v>
      </c>
      <c r="G28" s="76">
        <f>SUMIF('CHIRP Payment Calc'!H:H,A28,'CHIRP Payment Calc'!K:K)</f>
        <v>9747075.9740912132</v>
      </c>
      <c r="H28" s="77">
        <f t="shared" si="5"/>
        <v>0.28999999999999998</v>
      </c>
      <c r="I28" s="77">
        <f t="shared" si="6"/>
        <v>0.53</v>
      </c>
      <c r="J28" s="78">
        <f t="shared" si="3"/>
        <v>840352.50201396295</v>
      </c>
      <c r="K28" s="78">
        <f t="shared" si="4"/>
        <v>3630133.6246566176</v>
      </c>
      <c r="L28" s="78">
        <f t="shared" si="7"/>
        <v>4470486.1266705804</v>
      </c>
      <c r="M28" s="78">
        <f>SUMIF('CHIRP Payment Calc'!H:H,A28,'CHIRP Payment Calc'!AJ:AJ)</f>
        <v>0</v>
      </c>
      <c r="N28" s="78">
        <f>SUMIF('CHIRP Payment Calc'!H:H,A28,'CHIRP Payment Calc'!AK:AK)</f>
        <v>958903.22160740849</v>
      </c>
      <c r="O28" s="76">
        <f t="shared" si="8"/>
        <v>958903.22160740849</v>
      </c>
      <c r="P28" s="78">
        <f t="shared" si="9"/>
        <v>5429389.3482779888</v>
      </c>
      <c r="Q28" s="80">
        <f>COUNTIF('CHIRP Payment Calc'!H:H,A28)</f>
        <v>1</v>
      </c>
    </row>
    <row r="29" spans="1:17">
      <c r="A29" s="75" t="s">
        <v>3027</v>
      </c>
      <c r="B29" s="76">
        <f>SUMIF('CHIRP Payment Calc'!H:H,A29,'CHIRP Payment Calc'!L:L)</f>
        <v>-1476108.3153947024</v>
      </c>
      <c r="C29" s="76">
        <f>SUMIF('CHIRP Payment Calc'!H:H,A29,'CHIRP Payment Calc'!M:M)</f>
        <v>451739.63585365866</v>
      </c>
      <c r="D29" s="76">
        <f>SUMIF('CHIRP Payment Calc'!H:H,A29,'CHIRP Payment Calc'!N:N)</f>
        <v>-1024368.6795410437</v>
      </c>
      <c r="E29" s="76">
        <f>SUMIF('CHIRP Payment Calc'!H:H,A29,'CHIRP Payment Calc'!I:I)</f>
        <v>5492605.4403831875</v>
      </c>
      <c r="F29" s="76">
        <f>SUMIF('CHIRP Payment Calc'!H:H,A29,'CHIRP Payment Calc'!J:J)</f>
        <v>6787331.756243783</v>
      </c>
      <c r="G29" s="76">
        <f>SUMIF('CHIRP Payment Calc'!H:H,A29,'CHIRP Payment Calc'!K:K)</f>
        <v>12279937.196626971</v>
      </c>
      <c r="H29" s="77">
        <f t="shared" si="5"/>
        <v>0</v>
      </c>
      <c r="I29" s="77">
        <f t="shared" si="6"/>
        <v>7.0000000000000007E-2</v>
      </c>
      <c r="J29" s="78">
        <f t="shared" si="3"/>
        <v>0</v>
      </c>
      <c r="K29" s="78">
        <f t="shared" si="4"/>
        <v>475113.22293706489</v>
      </c>
      <c r="L29" s="78">
        <f t="shared" si="7"/>
        <v>475113.22293706489</v>
      </c>
      <c r="M29" s="78">
        <f>SUMIF('CHIRP Payment Calc'!H:H,A29,'CHIRP Payment Calc'!AJ:AJ)</f>
        <v>0</v>
      </c>
      <c r="N29" s="78">
        <f>SUMIF('CHIRP Payment Calc'!H:H,A29,'CHIRP Payment Calc'!AK:AK)</f>
        <v>2567370.1968346681</v>
      </c>
      <c r="O29" s="76">
        <f t="shared" si="8"/>
        <v>2567370.1968346681</v>
      </c>
      <c r="P29" s="78">
        <f t="shared" si="9"/>
        <v>3042483.4197717328</v>
      </c>
      <c r="Q29" s="80">
        <f>COUNTIF('CHIRP Payment Calc'!H:H,A29)</f>
        <v>2</v>
      </c>
    </row>
    <row r="30" spans="1:17">
      <c r="A30" s="75" t="s">
        <v>3028</v>
      </c>
      <c r="B30" s="76">
        <f>SUMIF('CHIRP Payment Calc'!H:H,A30,'CHIRP Payment Calc'!L:L)</f>
        <v>6852358.1394083127</v>
      </c>
      <c r="C30" s="76">
        <f>SUMIF('CHIRP Payment Calc'!H:H,A30,'CHIRP Payment Calc'!M:M)</f>
        <v>15351856.741625076</v>
      </c>
      <c r="D30" s="76">
        <f>SUMIF('CHIRP Payment Calc'!H:H,A30,'CHIRP Payment Calc'!N:N)</f>
        <v>22204214.881033391</v>
      </c>
      <c r="E30" s="76">
        <f>SUMIF('CHIRP Payment Calc'!H:H,A30,'CHIRP Payment Calc'!I:I)</f>
        <v>42612944.240885392</v>
      </c>
      <c r="F30" s="76">
        <f>SUMIF('CHIRP Payment Calc'!H:H,A30,'CHIRP Payment Calc'!J:J)</f>
        <v>36863915.423880078</v>
      </c>
      <c r="G30" s="76">
        <f>SUMIF('CHIRP Payment Calc'!H:H,A30,'CHIRP Payment Calc'!K:K)</f>
        <v>79476859.664765462</v>
      </c>
      <c r="H30" s="77">
        <f t="shared" si="5"/>
        <v>0.16</v>
      </c>
      <c r="I30" s="77">
        <f t="shared" si="6"/>
        <v>0.42</v>
      </c>
      <c r="J30" s="78">
        <f t="shared" si="3"/>
        <v>6818071.0785416625</v>
      </c>
      <c r="K30" s="78">
        <f t="shared" si="4"/>
        <v>15482844.478029633</v>
      </c>
      <c r="L30" s="78">
        <f t="shared" si="7"/>
        <v>22300915.556571297</v>
      </c>
      <c r="M30" s="78">
        <f>SUMIF('CHIRP Payment Calc'!H:H,A30,'CHIRP Payment Calc'!AJ:AJ)</f>
        <v>3713484.8378246566</v>
      </c>
      <c r="N30" s="78">
        <f>SUMIF('CHIRP Payment Calc'!H:H,A30,'CHIRP Payment Calc'!AK:AK)</f>
        <v>18473399.070096843</v>
      </c>
      <c r="O30" s="76">
        <f t="shared" si="8"/>
        <v>22186883.907921501</v>
      </c>
      <c r="P30" s="78">
        <f t="shared" si="9"/>
        <v>44487799.464492798</v>
      </c>
      <c r="Q30" s="80">
        <f>COUNTIF('CHIRP Payment Calc'!H:H,A30)</f>
        <v>22</v>
      </c>
    </row>
    <row r="31" spans="1:17">
      <c r="A31" s="75" t="s">
        <v>3029</v>
      </c>
      <c r="B31" s="76">
        <f>SUMIF('CHIRP Payment Calc'!H:H,A31,'CHIRP Payment Calc'!L:L)</f>
        <v>-13192422.601793852</v>
      </c>
      <c r="C31" s="76">
        <f>SUMIF('CHIRP Payment Calc'!H:H,A31,'CHIRP Payment Calc'!M:M)</f>
        <v>12158013.276397955</v>
      </c>
      <c r="D31" s="76">
        <f>SUMIF('CHIRP Payment Calc'!H:H,A31,'CHIRP Payment Calc'!N:N)</f>
        <v>-1034409.3253958907</v>
      </c>
      <c r="E31" s="76">
        <f>SUMIF('CHIRP Payment Calc'!H:H,A31,'CHIRP Payment Calc'!I:I)</f>
        <v>49793571.68273697</v>
      </c>
      <c r="F31" s="76">
        <f>SUMIF('CHIRP Payment Calc'!H:H,A31,'CHIRP Payment Calc'!J:J)</f>
        <v>41662133.656082287</v>
      </c>
      <c r="G31" s="76">
        <f>SUMIF('CHIRP Payment Calc'!H:H,A31,'CHIRP Payment Calc'!K:K)</f>
        <v>91455705.338819236</v>
      </c>
      <c r="H31" s="77">
        <f t="shared" si="5"/>
        <v>0</v>
      </c>
      <c r="I31" s="77">
        <f t="shared" si="6"/>
        <v>0.28999999999999998</v>
      </c>
      <c r="J31" s="78">
        <f t="shared" si="3"/>
        <v>0</v>
      </c>
      <c r="K31" s="78">
        <f t="shared" si="4"/>
        <v>12082018.760263862</v>
      </c>
      <c r="L31" s="78">
        <f t="shared" si="7"/>
        <v>12082018.760263862</v>
      </c>
      <c r="M31" s="78">
        <f>SUMIF('CHIRP Payment Calc'!H:H,A31,'CHIRP Payment Calc'!AJ:AJ)</f>
        <v>0</v>
      </c>
      <c r="N31" s="78">
        <f>SUMIF('CHIRP Payment Calc'!H:H,A31,'CHIRP Payment Calc'!AK:AK)</f>
        <v>13198156.667177051</v>
      </c>
      <c r="O31" s="76">
        <f t="shared" si="8"/>
        <v>13198156.667177051</v>
      </c>
      <c r="P31" s="78">
        <f t="shared" si="9"/>
        <v>25280175.427440912</v>
      </c>
      <c r="Q31" s="80">
        <f>COUNTIF('CHIRP Payment Calc'!H:H,A31)</f>
        <v>51</v>
      </c>
    </row>
    <row r="32" spans="1:17">
      <c r="A32" s="75" t="s">
        <v>3030</v>
      </c>
      <c r="B32" s="76">
        <f>SUMIF('CHIRP Payment Calc'!H:H,A32,'CHIRP Payment Calc'!L:L)</f>
        <v>-781327.81115960609</v>
      </c>
      <c r="C32" s="76">
        <f>SUMIF('CHIRP Payment Calc'!H:H,A32,'CHIRP Payment Calc'!M:M)</f>
        <v>4111946.4515032684</v>
      </c>
      <c r="D32" s="76">
        <f>SUMIF('CHIRP Payment Calc'!H:H,A32,'CHIRP Payment Calc'!N:N)</f>
        <v>3330618.6403436624</v>
      </c>
      <c r="E32" s="76">
        <f>SUMIF('CHIRP Payment Calc'!H:H,A32,'CHIRP Payment Calc'!I:I)</f>
        <v>7627206.0571723823</v>
      </c>
      <c r="F32" s="76">
        <f>SUMIF('CHIRP Payment Calc'!H:H,A32,'CHIRP Payment Calc'!J:J)</f>
        <v>4622561.9859738974</v>
      </c>
      <c r="G32" s="76">
        <f>SUMIF('CHIRP Payment Calc'!H:H,A32,'CHIRP Payment Calc'!K:K)</f>
        <v>12249768.043146279</v>
      </c>
      <c r="H32" s="77">
        <f t="shared" si="5"/>
        <v>0</v>
      </c>
      <c r="I32" s="77">
        <f t="shared" si="6"/>
        <v>0.89</v>
      </c>
      <c r="J32" s="78">
        <f t="shared" si="3"/>
        <v>0</v>
      </c>
      <c r="K32" s="78">
        <f t="shared" si="4"/>
        <v>4114080.1675167689</v>
      </c>
      <c r="L32" s="78">
        <f t="shared" si="7"/>
        <v>4114080.1675167689</v>
      </c>
      <c r="M32" s="78">
        <f>SUMIF('CHIRP Payment Calc'!H:H,A32,'CHIRP Payment Calc'!AJ:AJ)</f>
        <v>5586362.4107707832</v>
      </c>
      <c r="N32" s="78">
        <f>SUMIF('CHIRP Payment Calc'!H:H,A32,'CHIRP Payment Calc'!AK:AK)</f>
        <v>5573961.5043026954</v>
      </c>
      <c r="O32" s="76">
        <f t="shared" si="8"/>
        <v>11160323.915073479</v>
      </c>
      <c r="P32" s="78">
        <f t="shared" si="9"/>
        <v>15274404.082590248</v>
      </c>
      <c r="Q32" s="80">
        <f>COUNTIF('CHIRP Payment Calc'!H:H,A32)</f>
        <v>2</v>
      </c>
    </row>
    <row r="33" spans="1:17">
      <c r="A33" s="75" t="s">
        <v>3031</v>
      </c>
      <c r="B33" s="76">
        <f>SUMIF('CHIRP Payment Calc'!H:H,A33,'CHIRP Payment Calc'!L:L)</f>
        <v>1990699.45</v>
      </c>
      <c r="C33" s="76">
        <f>SUMIF('CHIRP Payment Calc'!H:H,A33,'CHIRP Payment Calc'!M:M)</f>
        <v>0</v>
      </c>
      <c r="D33" s="76">
        <f>SUMIF('CHIRP Payment Calc'!H:H,A33,'CHIRP Payment Calc'!N:N)</f>
        <v>1990699.45</v>
      </c>
      <c r="E33" s="76">
        <f>SUMIF('CHIRP Payment Calc'!H:H,A33,'CHIRP Payment Calc'!I:I)</f>
        <v>5360898.419111453</v>
      </c>
      <c r="F33" s="76">
        <f>SUMIF('CHIRP Payment Calc'!H:H,A33,'CHIRP Payment Calc'!J:J)</f>
        <v>0</v>
      </c>
      <c r="G33" s="76">
        <f>SUMIF('CHIRP Payment Calc'!H:H,A33,'CHIRP Payment Calc'!K:K)</f>
        <v>5360898.419111453</v>
      </c>
      <c r="H33" s="77">
        <f t="shared" si="5"/>
        <v>0.37</v>
      </c>
      <c r="I33" s="77">
        <f t="shared" si="6"/>
        <v>0</v>
      </c>
      <c r="J33" s="78">
        <f t="shared" si="3"/>
        <v>1983532.4150712376</v>
      </c>
      <c r="K33" s="78">
        <f t="shared" si="4"/>
        <v>0</v>
      </c>
      <c r="L33" s="78">
        <f t="shared" si="7"/>
        <v>1983532.4150712376</v>
      </c>
      <c r="M33" s="78">
        <f>SUMIF('CHIRP Payment Calc'!H:H,A33,'CHIRP Payment Calc'!AJ:AJ)</f>
        <v>0</v>
      </c>
      <c r="N33" s="78">
        <f>SUMIF('CHIRP Payment Calc'!H:H,A33,'CHIRP Payment Calc'!AK:AK)</f>
        <v>0</v>
      </c>
      <c r="O33" s="76">
        <f t="shared" si="8"/>
        <v>0</v>
      </c>
      <c r="P33" s="78">
        <f t="shared" si="9"/>
        <v>1983532.4150712376</v>
      </c>
      <c r="Q33" s="80">
        <f>COUNTIF('CHIRP Payment Calc'!H:H,A33)</f>
        <v>3</v>
      </c>
    </row>
    <row r="34" spans="1:17">
      <c r="A34" s="75" t="s">
        <v>3032</v>
      </c>
      <c r="B34" s="76">
        <f>SUMIF('CHIRP Payment Calc'!H:H,A34,'CHIRP Payment Calc'!L:L)</f>
        <v>8641513.1799999997</v>
      </c>
      <c r="C34" s="76">
        <f>SUMIF('CHIRP Payment Calc'!H:H,A34,'CHIRP Payment Calc'!M:M)</f>
        <v>0</v>
      </c>
      <c r="D34" s="76">
        <f>SUMIF('CHIRP Payment Calc'!H:H,A34,'CHIRP Payment Calc'!N:N)</f>
        <v>8641513.1799999997</v>
      </c>
      <c r="E34" s="76">
        <f>SUMIF('CHIRP Payment Calc'!H:H,A34,'CHIRP Payment Calc'!I:I)</f>
        <v>19674085.577238705</v>
      </c>
      <c r="F34" s="76">
        <f>SUMIF('CHIRP Payment Calc'!H:H,A34,'CHIRP Payment Calc'!J:J)</f>
        <v>0</v>
      </c>
      <c r="G34" s="76">
        <f>SUMIF('CHIRP Payment Calc'!H:H,A34,'CHIRP Payment Calc'!K:K)</f>
        <v>19674085.577238705</v>
      </c>
      <c r="H34" s="77">
        <f t="shared" si="5"/>
        <v>0.44</v>
      </c>
      <c r="I34" s="77">
        <f t="shared" si="6"/>
        <v>0</v>
      </c>
      <c r="J34" s="78">
        <f t="shared" si="3"/>
        <v>8656597.6539850309</v>
      </c>
      <c r="K34" s="78">
        <f t="shared" si="4"/>
        <v>0</v>
      </c>
      <c r="L34" s="78">
        <f t="shared" si="7"/>
        <v>8656597.6539850309</v>
      </c>
      <c r="M34" s="78">
        <f>SUMIF('CHIRP Payment Calc'!H:H,A34,'CHIRP Payment Calc'!AJ:AJ)</f>
        <v>0</v>
      </c>
      <c r="N34" s="78">
        <f>SUMIF('CHIRP Payment Calc'!H:H,A34,'CHIRP Payment Calc'!AK:AK)</f>
        <v>0</v>
      </c>
      <c r="O34" s="76">
        <f t="shared" si="8"/>
        <v>0</v>
      </c>
      <c r="P34" s="78">
        <f t="shared" si="9"/>
        <v>8656597.6539850309</v>
      </c>
      <c r="Q34" s="80">
        <f>COUNTIF('CHIRP Payment Calc'!H:H,A34)</f>
        <v>8</v>
      </c>
    </row>
    <row r="35" spans="1:17">
      <c r="A35" s="75" t="s">
        <v>3033</v>
      </c>
      <c r="B35" s="76">
        <f>SUMIF('CHIRP Payment Calc'!H:H,A35,'CHIRP Payment Calc'!L:L)</f>
        <v>753922.56000000006</v>
      </c>
      <c r="C35" s="76">
        <f>SUMIF('CHIRP Payment Calc'!H:H,A35,'CHIRP Payment Calc'!M:M)</f>
        <v>0</v>
      </c>
      <c r="D35" s="76">
        <f>SUMIF('CHIRP Payment Calc'!H:H,A35,'CHIRP Payment Calc'!N:N)</f>
        <v>753922.56000000006</v>
      </c>
      <c r="E35" s="76">
        <f>SUMIF('CHIRP Payment Calc'!H:H,A35,'CHIRP Payment Calc'!I:I)</f>
        <v>6283928.9856956666</v>
      </c>
      <c r="F35" s="76">
        <f>SUMIF('CHIRP Payment Calc'!H:H,A35,'CHIRP Payment Calc'!J:J)</f>
        <v>0</v>
      </c>
      <c r="G35" s="76">
        <f>SUMIF('CHIRP Payment Calc'!H:H,A35,'CHIRP Payment Calc'!K:K)</f>
        <v>6283928.9856956666</v>
      </c>
      <c r="H35" s="77">
        <f t="shared" si="5"/>
        <v>0.12</v>
      </c>
      <c r="I35" s="77">
        <f t="shared" si="6"/>
        <v>0</v>
      </c>
      <c r="J35" s="78">
        <f t="shared" si="3"/>
        <v>754071.47828347993</v>
      </c>
      <c r="K35" s="78">
        <f t="shared" si="4"/>
        <v>0</v>
      </c>
      <c r="L35" s="78">
        <f t="shared" si="7"/>
        <v>754071.47828347993</v>
      </c>
      <c r="M35" s="78">
        <f>SUMIF('CHIRP Payment Calc'!H:H,A35,'CHIRP Payment Calc'!AJ:AJ)</f>
        <v>0</v>
      </c>
      <c r="N35" s="78">
        <f>SUMIF('CHIRP Payment Calc'!H:H,A35,'CHIRP Payment Calc'!AK:AK)</f>
        <v>0</v>
      </c>
      <c r="O35" s="76">
        <f t="shared" si="8"/>
        <v>0</v>
      </c>
      <c r="P35" s="78">
        <f t="shared" si="9"/>
        <v>754071.47828347993</v>
      </c>
      <c r="Q35" s="80">
        <f>COUNTIF('CHIRP Payment Calc'!H:H,A35)</f>
        <v>2</v>
      </c>
    </row>
    <row r="36" spans="1:17">
      <c r="A36" s="75" t="s">
        <v>3034</v>
      </c>
      <c r="B36" s="76">
        <f>SUMIF('CHIRP Payment Calc'!H:H,A36,'CHIRP Payment Calc'!L:L)</f>
        <v>118932.64999999991</v>
      </c>
      <c r="C36" s="76">
        <f>SUMIF('CHIRP Payment Calc'!H:H,A36,'CHIRP Payment Calc'!M:M)</f>
        <v>0</v>
      </c>
      <c r="D36" s="76">
        <f>SUMIF('CHIRP Payment Calc'!H:H,A36,'CHIRP Payment Calc'!N:N)</f>
        <v>118932.64999999991</v>
      </c>
      <c r="E36" s="76">
        <f>SUMIF('CHIRP Payment Calc'!H:H,A36,'CHIRP Payment Calc'!I:I)</f>
        <v>4576248.7833749913</v>
      </c>
      <c r="F36" s="76">
        <f>SUMIF('CHIRP Payment Calc'!H:H,A36,'CHIRP Payment Calc'!J:J)</f>
        <v>0</v>
      </c>
      <c r="G36" s="76">
        <f>SUMIF('CHIRP Payment Calc'!H:H,A36,'CHIRP Payment Calc'!K:K)</f>
        <v>4576248.7833749913</v>
      </c>
      <c r="H36" s="77">
        <f t="shared" si="5"/>
        <v>0.03</v>
      </c>
      <c r="I36" s="77">
        <f t="shared" si="6"/>
        <v>0</v>
      </c>
      <c r="J36" s="78">
        <f t="shared" si="3"/>
        <v>137287.46350124973</v>
      </c>
      <c r="K36" s="78">
        <f t="shared" si="4"/>
        <v>0</v>
      </c>
      <c r="L36" s="78">
        <f t="shared" si="7"/>
        <v>137287.46350124973</v>
      </c>
      <c r="M36" s="78">
        <f>SUMIF('CHIRP Payment Calc'!H:H,A36,'CHIRP Payment Calc'!AJ:AJ)</f>
        <v>1837075.2288378924</v>
      </c>
      <c r="N36" s="78">
        <f>SUMIF('CHIRP Payment Calc'!H:H,A36,'CHIRP Payment Calc'!AK:AK)</f>
        <v>0</v>
      </c>
      <c r="O36" s="76">
        <f t="shared" si="8"/>
        <v>1837075.2288378924</v>
      </c>
      <c r="P36" s="78">
        <f t="shared" si="9"/>
        <v>1974362.6923391421</v>
      </c>
      <c r="Q36" s="80">
        <f>COUNTIF('CHIRP Payment Calc'!H:H,A36)</f>
        <v>4</v>
      </c>
    </row>
    <row r="37" spans="1:17">
      <c r="A37" s="75" t="s">
        <v>3035</v>
      </c>
      <c r="B37" s="76">
        <f>SUMIF('CHIRP Payment Calc'!H:H,A37,'CHIRP Payment Calc'!L:L)</f>
        <v>2592072.06</v>
      </c>
      <c r="C37" s="76">
        <f>SUMIF('CHIRP Payment Calc'!H:H,A37,'CHIRP Payment Calc'!M:M)</f>
        <v>0</v>
      </c>
      <c r="D37" s="76">
        <f>SUMIF('CHIRP Payment Calc'!H:H,A37,'CHIRP Payment Calc'!N:N)</f>
        <v>2592072.06</v>
      </c>
      <c r="E37" s="76">
        <f>SUMIF('CHIRP Payment Calc'!H:H,A37,'CHIRP Payment Calc'!I:I)</f>
        <v>18270727.41074976</v>
      </c>
      <c r="F37" s="76">
        <f>SUMIF('CHIRP Payment Calc'!H:H,A37,'CHIRP Payment Calc'!J:J)</f>
        <v>0</v>
      </c>
      <c r="G37" s="76">
        <f>SUMIF('CHIRP Payment Calc'!H:H,A37,'CHIRP Payment Calc'!K:K)</f>
        <v>18270727.41074976</v>
      </c>
      <c r="H37" s="77">
        <f t="shared" si="5"/>
        <v>0.14000000000000001</v>
      </c>
      <c r="I37" s="77">
        <f t="shared" si="6"/>
        <v>0</v>
      </c>
      <c r="J37" s="78">
        <f t="shared" ref="J37:J61" si="10">+H37*E37</f>
        <v>2557901.8375049667</v>
      </c>
      <c r="K37" s="78">
        <f t="shared" ref="K37:K61" si="11">+I37*F37</f>
        <v>0</v>
      </c>
      <c r="L37" s="78">
        <f t="shared" si="7"/>
        <v>2557901.8375049667</v>
      </c>
      <c r="M37" s="78">
        <f>SUMIF('CHIRP Payment Calc'!H:H,A37,'CHIRP Payment Calc'!AJ:AJ)</f>
        <v>0</v>
      </c>
      <c r="N37" s="78">
        <f>SUMIF('CHIRP Payment Calc'!H:H,A37,'CHIRP Payment Calc'!AK:AK)</f>
        <v>0</v>
      </c>
      <c r="O37" s="76">
        <f t="shared" si="8"/>
        <v>0</v>
      </c>
      <c r="P37" s="78">
        <f t="shared" si="9"/>
        <v>2557901.8375049667</v>
      </c>
      <c r="Q37" s="80">
        <f>COUNTIF('CHIRP Payment Calc'!H:H,A37)</f>
        <v>3</v>
      </c>
    </row>
    <row r="38" spans="1:17">
      <c r="A38" s="75" t="s">
        <v>3036</v>
      </c>
      <c r="B38" s="76">
        <f>SUMIF('CHIRP Payment Calc'!H:H,A38,'CHIRP Payment Calc'!L:L)</f>
        <v>282828.64</v>
      </c>
      <c r="C38" s="76">
        <f>SUMIF('CHIRP Payment Calc'!H:H,A38,'CHIRP Payment Calc'!M:M)</f>
        <v>0</v>
      </c>
      <c r="D38" s="76">
        <f>SUMIF('CHIRP Payment Calc'!H:H,A38,'CHIRP Payment Calc'!N:N)</f>
        <v>282828.64</v>
      </c>
      <c r="E38" s="76">
        <f>SUMIF('CHIRP Payment Calc'!H:H,A38,'CHIRP Payment Calc'!I:I)</f>
        <v>267562.23093441321</v>
      </c>
      <c r="F38" s="76">
        <f>SUMIF('CHIRP Payment Calc'!H:H,A38,'CHIRP Payment Calc'!J:J)</f>
        <v>0</v>
      </c>
      <c r="G38" s="76">
        <f>SUMIF('CHIRP Payment Calc'!H:H,A38,'CHIRP Payment Calc'!K:K)</f>
        <v>267562.23093441321</v>
      </c>
      <c r="H38" s="77">
        <f t="shared" si="5"/>
        <v>1.06</v>
      </c>
      <c r="I38" s="77">
        <f t="shared" si="6"/>
        <v>0</v>
      </c>
      <c r="J38" s="78">
        <f t="shared" si="10"/>
        <v>283615.964790478</v>
      </c>
      <c r="K38" s="78">
        <f t="shared" si="11"/>
        <v>0</v>
      </c>
      <c r="L38" s="78">
        <f t="shared" si="7"/>
        <v>283615.964790478</v>
      </c>
      <c r="M38" s="78">
        <f>SUMIF('CHIRP Payment Calc'!H:H,A38,'CHIRP Payment Calc'!AJ:AJ)</f>
        <v>0</v>
      </c>
      <c r="N38" s="78">
        <f>SUMIF('CHIRP Payment Calc'!H:H,A38,'CHIRP Payment Calc'!AK:AK)</f>
        <v>0</v>
      </c>
      <c r="O38" s="76">
        <f t="shared" si="8"/>
        <v>0</v>
      </c>
      <c r="P38" s="78">
        <f t="shared" si="9"/>
        <v>283615.964790478</v>
      </c>
      <c r="Q38" s="80">
        <f>COUNTIF('CHIRP Payment Calc'!H:H,A38)</f>
        <v>4</v>
      </c>
    </row>
    <row r="39" spans="1:17">
      <c r="A39" s="75" t="s">
        <v>3037</v>
      </c>
      <c r="B39" s="76">
        <f>SUMIF('CHIRP Payment Calc'!H:H,A39,'CHIRP Payment Calc'!L:L)</f>
        <v>-256385.68028622109</v>
      </c>
      <c r="C39" s="76">
        <f>SUMIF('CHIRP Payment Calc'!H:H,A39,'CHIRP Payment Calc'!M:M)</f>
        <v>3053782.0686360179</v>
      </c>
      <c r="D39" s="76">
        <f>SUMIF('CHIRP Payment Calc'!H:H,A39,'CHIRP Payment Calc'!N:N)</f>
        <v>2797396.3883497966</v>
      </c>
      <c r="E39" s="76">
        <f>SUMIF('CHIRP Payment Calc'!H:H,A39,'CHIRP Payment Calc'!I:I)</f>
        <v>2455462.7884266265</v>
      </c>
      <c r="F39" s="76">
        <f>SUMIF('CHIRP Payment Calc'!H:H,A39,'CHIRP Payment Calc'!J:J)</f>
        <v>3557356.6754678898</v>
      </c>
      <c r="G39" s="76">
        <f>SUMIF('CHIRP Payment Calc'!H:H,A39,'CHIRP Payment Calc'!K:K)</f>
        <v>6012819.4638945153</v>
      </c>
      <c r="H39" s="77">
        <f t="shared" si="5"/>
        <v>0</v>
      </c>
      <c r="I39" s="77">
        <f t="shared" si="6"/>
        <v>0.86</v>
      </c>
      <c r="J39" s="78">
        <f t="shared" si="10"/>
        <v>0</v>
      </c>
      <c r="K39" s="78">
        <f t="shared" si="11"/>
        <v>3059326.7409023852</v>
      </c>
      <c r="L39" s="78">
        <f t="shared" si="7"/>
        <v>3059326.7409023852</v>
      </c>
      <c r="M39" s="78">
        <f>SUMIF('CHIRP Payment Calc'!H:H,A39,'CHIRP Payment Calc'!AJ:AJ)</f>
        <v>0</v>
      </c>
      <c r="N39" s="78">
        <f>SUMIF('CHIRP Payment Calc'!H:H,A39,'CHIRP Payment Calc'!AK:AK)</f>
        <v>0</v>
      </c>
      <c r="O39" s="76">
        <f t="shared" si="8"/>
        <v>0</v>
      </c>
      <c r="P39" s="78">
        <f t="shared" si="9"/>
        <v>3059326.7409023852</v>
      </c>
      <c r="Q39" s="80">
        <f>COUNTIF('CHIRP Payment Calc'!H:H,A39)</f>
        <v>3</v>
      </c>
    </row>
    <row r="40" spans="1:17">
      <c r="A40" s="75" t="s">
        <v>3038</v>
      </c>
      <c r="B40" s="76">
        <f>SUMIF('CHIRP Payment Calc'!H:H,A40,'CHIRP Payment Calc'!L:L)</f>
        <v>-154680.03301977032</v>
      </c>
      <c r="C40" s="76">
        <f>SUMIF('CHIRP Payment Calc'!H:H,A40,'CHIRP Payment Calc'!M:M)</f>
        <v>2540297.3624848486</v>
      </c>
      <c r="D40" s="76">
        <f>SUMIF('CHIRP Payment Calc'!H:H,A40,'CHIRP Payment Calc'!N:N)</f>
        <v>2385617.3294650782</v>
      </c>
      <c r="E40" s="76">
        <f>SUMIF('CHIRP Payment Calc'!H:H,A40,'CHIRP Payment Calc'!I:I)</f>
        <v>2270353.1042445432</v>
      </c>
      <c r="F40" s="76">
        <f>SUMIF('CHIRP Payment Calc'!H:H,A40,'CHIRP Payment Calc'!J:J)</f>
        <v>6559655.1792725902</v>
      </c>
      <c r="G40" s="76">
        <f>SUMIF('CHIRP Payment Calc'!H:H,A40,'CHIRP Payment Calc'!K:K)</f>
        <v>8830008.2835171334</v>
      </c>
      <c r="H40" s="77">
        <f t="shared" si="5"/>
        <v>0</v>
      </c>
      <c r="I40" s="77">
        <f t="shared" si="6"/>
        <v>0.39</v>
      </c>
      <c r="J40" s="78">
        <f t="shared" si="10"/>
        <v>0</v>
      </c>
      <c r="K40" s="78">
        <f t="shared" si="11"/>
        <v>2558265.5199163104</v>
      </c>
      <c r="L40" s="78">
        <f t="shared" si="7"/>
        <v>2558265.5199163104</v>
      </c>
      <c r="M40" s="78">
        <f>SUMIF('CHIRP Payment Calc'!H:H,A40,'CHIRP Payment Calc'!AJ:AJ)</f>
        <v>0</v>
      </c>
      <c r="N40" s="78">
        <f>SUMIF('CHIRP Payment Calc'!H:H,A40,'CHIRP Payment Calc'!AK:AK)</f>
        <v>2512786.967074011</v>
      </c>
      <c r="O40" s="76">
        <f t="shared" si="8"/>
        <v>2512786.967074011</v>
      </c>
      <c r="P40" s="78">
        <f t="shared" si="9"/>
        <v>5071052.4869903214</v>
      </c>
      <c r="Q40" s="80">
        <f>COUNTIF('CHIRP Payment Calc'!H:H,A40)</f>
        <v>5</v>
      </c>
    </row>
    <row r="41" spans="1:17">
      <c r="A41" s="75" t="s">
        <v>3039</v>
      </c>
      <c r="B41" s="76">
        <f>SUMIF('CHIRP Payment Calc'!H:H,A41,'CHIRP Payment Calc'!L:L)</f>
        <v>-942395.83200023696</v>
      </c>
      <c r="C41" s="76">
        <f>SUMIF('CHIRP Payment Calc'!H:H,A41,'CHIRP Payment Calc'!M:M)</f>
        <v>1688342.6230674847</v>
      </c>
      <c r="D41" s="76">
        <f>SUMIF('CHIRP Payment Calc'!H:H,A41,'CHIRP Payment Calc'!N:N)</f>
        <v>745946.79106724774</v>
      </c>
      <c r="E41" s="76">
        <f>SUMIF('CHIRP Payment Calc'!H:H,A41,'CHIRP Payment Calc'!I:I)</f>
        <v>4038345.1915210579</v>
      </c>
      <c r="F41" s="76">
        <f>SUMIF('CHIRP Payment Calc'!H:H,A41,'CHIRP Payment Calc'!J:J)</f>
        <v>1656784.0025183538</v>
      </c>
      <c r="G41" s="76">
        <f>SUMIF('CHIRP Payment Calc'!H:H,A41,'CHIRP Payment Calc'!K:K)</f>
        <v>5695129.1940394118</v>
      </c>
      <c r="H41" s="77">
        <f t="shared" si="5"/>
        <v>0</v>
      </c>
      <c r="I41" s="77">
        <f t="shared" si="6"/>
        <v>1.02</v>
      </c>
      <c r="J41" s="78">
        <f t="shared" si="10"/>
        <v>0</v>
      </c>
      <c r="K41" s="78">
        <f t="shared" si="11"/>
        <v>1689919.6825687208</v>
      </c>
      <c r="L41" s="78">
        <f t="shared" si="7"/>
        <v>1689919.6825687208</v>
      </c>
      <c r="M41" s="78">
        <f>SUMIF('CHIRP Payment Calc'!H:H,A41,'CHIRP Payment Calc'!AJ:AJ)</f>
        <v>3957578.2876906367</v>
      </c>
      <c r="N41" s="78">
        <f>SUMIF('CHIRP Payment Calc'!H:H,A41,'CHIRP Payment Calc'!AK:AK)</f>
        <v>1573944.802392436</v>
      </c>
      <c r="O41" s="76">
        <f t="shared" si="8"/>
        <v>5531523.0900830729</v>
      </c>
      <c r="P41" s="78">
        <f t="shared" si="9"/>
        <v>7221442.7726517934</v>
      </c>
      <c r="Q41" s="80">
        <f>COUNTIF('CHIRP Payment Calc'!H:H,A41)</f>
        <v>1</v>
      </c>
    </row>
    <row r="42" spans="1:17">
      <c r="A42" s="75" t="s">
        <v>3040</v>
      </c>
      <c r="B42" s="76">
        <f>SUMIF('CHIRP Payment Calc'!H:H,A42,'CHIRP Payment Calc'!L:L)</f>
        <v>785428.88248327118</v>
      </c>
      <c r="C42" s="76">
        <f>SUMIF('CHIRP Payment Calc'!H:H,A42,'CHIRP Payment Calc'!M:M)</f>
        <v>2122118.5935802474</v>
      </c>
      <c r="D42" s="76">
        <f>SUMIF('CHIRP Payment Calc'!H:H,A42,'CHIRP Payment Calc'!N:N)</f>
        <v>2907547.4760635188</v>
      </c>
      <c r="E42" s="76">
        <f>SUMIF('CHIRP Payment Calc'!H:H,A42,'CHIRP Payment Calc'!I:I)</f>
        <v>6602643.6548025589</v>
      </c>
      <c r="F42" s="76">
        <f>SUMIF('CHIRP Payment Calc'!H:H,A42,'CHIRP Payment Calc'!J:J)</f>
        <v>12380196.628914904</v>
      </c>
      <c r="G42" s="76">
        <f>SUMIF('CHIRP Payment Calc'!H:H,A42,'CHIRP Payment Calc'!K:K)</f>
        <v>18982840.283717461</v>
      </c>
      <c r="H42" s="77">
        <f t="shared" si="5"/>
        <v>0.12</v>
      </c>
      <c r="I42" s="77">
        <f t="shared" si="6"/>
        <v>0.17</v>
      </c>
      <c r="J42" s="78">
        <f t="shared" si="10"/>
        <v>792317.23857630708</v>
      </c>
      <c r="K42" s="78">
        <f t="shared" si="11"/>
        <v>2104633.4269155338</v>
      </c>
      <c r="L42" s="78">
        <f t="shared" si="7"/>
        <v>2896950.6654918408</v>
      </c>
      <c r="M42" s="78">
        <f>SUMIF('CHIRP Payment Calc'!H:H,A42,'CHIRP Payment Calc'!AJ:AJ)</f>
        <v>790171.86652418296</v>
      </c>
      <c r="N42" s="78">
        <f>SUMIF('CHIRP Payment Calc'!H:H,A42,'CHIRP Payment Calc'!AK:AK)</f>
        <v>3965922.7657265244</v>
      </c>
      <c r="O42" s="76">
        <f t="shared" si="8"/>
        <v>4756094.6322507076</v>
      </c>
      <c r="P42" s="78">
        <f t="shared" si="9"/>
        <v>7653045.2977425484</v>
      </c>
      <c r="Q42" s="80">
        <f>COUNTIF('CHIRP Payment Calc'!H:H,A42)</f>
        <v>6</v>
      </c>
    </row>
    <row r="43" spans="1:17">
      <c r="A43" s="75" t="s">
        <v>3041</v>
      </c>
      <c r="B43" s="76">
        <f>SUMIF('CHIRP Payment Calc'!H:H,A43,'CHIRP Payment Calc'!L:L)</f>
        <v>-643459.62869725167</v>
      </c>
      <c r="C43" s="76">
        <f>SUMIF('CHIRP Payment Calc'!H:H,A43,'CHIRP Payment Calc'!M:M)</f>
        <v>844455.27772151935</v>
      </c>
      <c r="D43" s="76">
        <f>SUMIF('CHIRP Payment Calc'!H:H,A43,'CHIRP Payment Calc'!N:N)</f>
        <v>200995.64902426756</v>
      </c>
      <c r="E43" s="76">
        <f>SUMIF('CHIRP Payment Calc'!H:H,A43,'CHIRP Payment Calc'!I:I)</f>
        <v>15729391.308950093</v>
      </c>
      <c r="F43" s="76">
        <f>SUMIF('CHIRP Payment Calc'!H:H,A43,'CHIRP Payment Calc'!J:J)</f>
        <v>4938720.4667999689</v>
      </c>
      <c r="G43" s="76">
        <f>SUMIF('CHIRP Payment Calc'!H:H,A43,'CHIRP Payment Calc'!K:K)</f>
        <v>20668111.775750063</v>
      </c>
      <c r="H43" s="77">
        <f t="shared" si="5"/>
        <v>0</v>
      </c>
      <c r="I43" s="77">
        <f t="shared" si="6"/>
        <v>0.17</v>
      </c>
      <c r="J43" s="78">
        <f t="shared" si="10"/>
        <v>0</v>
      </c>
      <c r="K43" s="78">
        <f t="shared" si="11"/>
        <v>839582.47935599473</v>
      </c>
      <c r="L43" s="78">
        <f t="shared" si="7"/>
        <v>839582.47935599473</v>
      </c>
      <c r="M43" s="78">
        <f>SUMIF('CHIRP Payment Calc'!H:H,A43,'CHIRP Payment Calc'!AJ:AJ)</f>
        <v>1020203.2188756495</v>
      </c>
      <c r="N43" s="78">
        <f>SUMIF('CHIRP Payment Calc'!H:H,A43,'CHIRP Payment Calc'!AK:AK)</f>
        <v>3373083.2389278766</v>
      </c>
      <c r="O43" s="76">
        <f t="shared" si="8"/>
        <v>4393286.457803526</v>
      </c>
      <c r="P43" s="78">
        <f t="shared" si="9"/>
        <v>5232868.9371595206</v>
      </c>
      <c r="Q43" s="80">
        <f>COUNTIF('CHIRP Payment Calc'!H:H,A43)</f>
        <v>6</v>
      </c>
    </row>
    <row r="44" spans="1:17">
      <c r="A44" s="75" t="s">
        <v>3042</v>
      </c>
      <c r="B44" s="76">
        <f>SUMIF('CHIRP Payment Calc'!H:H,A44,'CHIRP Payment Calc'!L:L)</f>
        <v>242609.9240688594</v>
      </c>
      <c r="C44" s="76">
        <f>SUMIF('CHIRP Payment Calc'!H:H,A44,'CHIRP Payment Calc'!M:M)</f>
        <v>1163184.0137142858</v>
      </c>
      <c r="D44" s="76">
        <f>SUMIF('CHIRP Payment Calc'!H:H,A44,'CHIRP Payment Calc'!N:N)</f>
        <v>1405793.9377831451</v>
      </c>
      <c r="E44" s="76">
        <f>SUMIF('CHIRP Payment Calc'!H:H,A44,'CHIRP Payment Calc'!I:I)</f>
        <v>1604356.2274541729</v>
      </c>
      <c r="F44" s="76">
        <f>SUMIF('CHIRP Payment Calc'!H:H,A44,'CHIRP Payment Calc'!J:J)</f>
        <v>5746406.1290443046</v>
      </c>
      <c r="G44" s="76">
        <f>SUMIF('CHIRP Payment Calc'!H:H,A44,'CHIRP Payment Calc'!K:K)</f>
        <v>7350762.356498477</v>
      </c>
      <c r="H44" s="77">
        <f t="shared" si="5"/>
        <v>0.15</v>
      </c>
      <c r="I44" s="77">
        <f t="shared" si="6"/>
        <v>0.2</v>
      </c>
      <c r="J44" s="78">
        <f t="shared" si="10"/>
        <v>240653.43411812594</v>
      </c>
      <c r="K44" s="78">
        <f t="shared" si="11"/>
        <v>1149281.225808861</v>
      </c>
      <c r="L44" s="78">
        <f t="shared" si="7"/>
        <v>1389934.6599269868</v>
      </c>
      <c r="M44" s="78">
        <f>SUMIF('CHIRP Payment Calc'!H:H,A44,'CHIRP Payment Calc'!AJ:AJ)</f>
        <v>562124.01045853097</v>
      </c>
      <c r="N44" s="78">
        <f>SUMIF('CHIRP Payment Calc'!H:H,A44,'CHIRP Payment Calc'!AK:AK)</f>
        <v>1880514.3290230427</v>
      </c>
      <c r="O44" s="76">
        <f t="shared" si="8"/>
        <v>2442638.3394815736</v>
      </c>
      <c r="P44" s="78">
        <f t="shared" si="9"/>
        <v>3832572.9994085603</v>
      </c>
      <c r="Q44" s="80">
        <f>COUNTIF('CHIRP Payment Calc'!H:H,A44)</f>
        <v>3</v>
      </c>
    </row>
    <row r="45" spans="1:17">
      <c r="A45" s="75" t="s">
        <v>3043</v>
      </c>
      <c r="B45" s="76">
        <f>SUMIF('CHIRP Payment Calc'!H:H,A45,'CHIRP Payment Calc'!L:L)</f>
        <v>2234799.7059951802</v>
      </c>
      <c r="C45" s="76">
        <f>SUMIF('CHIRP Payment Calc'!H:H,A45,'CHIRP Payment Calc'!M:M)</f>
        <v>3294212.023844392</v>
      </c>
      <c r="D45" s="76">
        <f>SUMIF('CHIRP Payment Calc'!H:H,A45,'CHIRP Payment Calc'!N:N)</f>
        <v>5529011.7298395736</v>
      </c>
      <c r="E45" s="76">
        <f>SUMIF('CHIRP Payment Calc'!H:H,A45,'CHIRP Payment Calc'!I:I)</f>
        <v>7051142.6894073458</v>
      </c>
      <c r="F45" s="76">
        <f>SUMIF('CHIRP Payment Calc'!H:H,A45,'CHIRP Payment Calc'!J:J)</f>
        <v>9264102.9811863359</v>
      </c>
      <c r="G45" s="76">
        <f>SUMIF('CHIRP Payment Calc'!H:H,A45,'CHIRP Payment Calc'!K:K)</f>
        <v>16315245.670593683</v>
      </c>
      <c r="H45" s="77">
        <f t="shared" si="5"/>
        <v>0.32</v>
      </c>
      <c r="I45" s="77">
        <f t="shared" si="6"/>
        <v>0.36</v>
      </c>
      <c r="J45" s="78">
        <f t="shared" si="10"/>
        <v>2256365.6606103508</v>
      </c>
      <c r="K45" s="78">
        <f t="shared" si="11"/>
        <v>3335077.073227081</v>
      </c>
      <c r="L45" s="78">
        <f t="shared" si="7"/>
        <v>5591442.7338374313</v>
      </c>
      <c r="M45" s="78">
        <f>SUMIF('CHIRP Payment Calc'!H:H,A45,'CHIRP Payment Calc'!AJ:AJ)</f>
        <v>0</v>
      </c>
      <c r="N45" s="78">
        <f>SUMIF('CHIRP Payment Calc'!H:H,A45,'CHIRP Payment Calc'!AK:AK)</f>
        <v>702567.01810950355</v>
      </c>
      <c r="O45" s="76">
        <f t="shared" si="8"/>
        <v>702567.01810950355</v>
      </c>
      <c r="P45" s="78">
        <f t="shared" si="9"/>
        <v>6294009.7519469345</v>
      </c>
      <c r="Q45" s="80">
        <f>COUNTIF('CHIRP Payment Calc'!H:H,A45)</f>
        <v>9</v>
      </c>
    </row>
    <row r="46" spans="1:17">
      <c r="A46" s="75" t="s">
        <v>3044</v>
      </c>
      <c r="B46" s="76">
        <f>SUMIF('CHIRP Payment Calc'!H:H,A46,'CHIRP Payment Calc'!L:L)</f>
        <v>2053634.42</v>
      </c>
      <c r="C46" s="76">
        <f>SUMIF('CHIRP Payment Calc'!H:H,A46,'CHIRP Payment Calc'!M:M)</f>
        <v>0</v>
      </c>
      <c r="D46" s="76">
        <f>SUMIF('CHIRP Payment Calc'!H:H,A46,'CHIRP Payment Calc'!N:N)</f>
        <v>2053634.42</v>
      </c>
      <c r="E46" s="76">
        <f>SUMIF('CHIRP Payment Calc'!H:H,A46,'CHIRP Payment Calc'!I:I)</f>
        <v>3269428.0984129487</v>
      </c>
      <c r="F46" s="76">
        <f>SUMIF('CHIRP Payment Calc'!H:H,A46,'CHIRP Payment Calc'!J:J)</f>
        <v>0</v>
      </c>
      <c r="G46" s="76">
        <f>SUMIF('CHIRP Payment Calc'!H:H,A46,'CHIRP Payment Calc'!K:K)</f>
        <v>3269428.0984129487</v>
      </c>
      <c r="H46" s="77">
        <f t="shared" si="5"/>
        <v>0.63</v>
      </c>
      <c r="I46" s="77">
        <f t="shared" si="6"/>
        <v>0</v>
      </c>
      <c r="J46" s="78">
        <f t="shared" si="10"/>
        <v>2059739.7020001577</v>
      </c>
      <c r="K46" s="78">
        <f t="shared" si="11"/>
        <v>0</v>
      </c>
      <c r="L46" s="78">
        <f t="shared" si="7"/>
        <v>2059739.7020001577</v>
      </c>
      <c r="M46" s="78">
        <f>SUMIF('CHIRP Payment Calc'!H:H,A46,'CHIRP Payment Calc'!AJ:AJ)</f>
        <v>0</v>
      </c>
      <c r="N46" s="78">
        <f>SUMIF('CHIRP Payment Calc'!H:H,A46,'CHIRP Payment Calc'!AK:AK)</f>
        <v>0</v>
      </c>
      <c r="O46" s="76">
        <f t="shared" si="8"/>
        <v>0</v>
      </c>
      <c r="P46" s="78">
        <f t="shared" si="9"/>
        <v>2059739.7020001577</v>
      </c>
      <c r="Q46" s="80">
        <f>COUNTIF('CHIRP Payment Calc'!H:H,A46)</f>
        <v>5</v>
      </c>
    </row>
    <row r="47" spans="1:17">
      <c r="A47" s="75" t="s">
        <v>3045</v>
      </c>
      <c r="B47" s="76">
        <f>SUMIF('CHIRP Payment Calc'!H:H,A47,'CHIRP Payment Calc'!L:L)</f>
        <v>367171.75</v>
      </c>
      <c r="C47" s="76">
        <f>SUMIF('CHIRP Payment Calc'!H:H,A47,'CHIRP Payment Calc'!M:M)</f>
        <v>0</v>
      </c>
      <c r="D47" s="76">
        <f>SUMIF('CHIRP Payment Calc'!H:H,A47,'CHIRP Payment Calc'!N:N)</f>
        <v>367171.75</v>
      </c>
      <c r="E47" s="76">
        <f>SUMIF('CHIRP Payment Calc'!H:H,A47,'CHIRP Payment Calc'!I:I)</f>
        <v>1593072.8598933686</v>
      </c>
      <c r="F47" s="76">
        <f>SUMIF('CHIRP Payment Calc'!H:H,A47,'CHIRP Payment Calc'!J:J)</f>
        <v>0</v>
      </c>
      <c r="G47" s="76">
        <f>SUMIF('CHIRP Payment Calc'!H:H,A47,'CHIRP Payment Calc'!K:K)</f>
        <v>1593072.8598933686</v>
      </c>
      <c r="H47" s="77">
        <f t="shared" si="5"/>
        <v>0.23</v>
      </c>
      <c r="I47" s="77">
        <f t="shared" si="6"/>
        <v>0</v>
      </c>
      <c r="J47" s="78">
        <f t="shared" si="10"/>
        <v>366406.75777547481</v>
      </c>
      <c r="K47" s="78">
        <f t="shared" si="11"/>
        <v>0</v>
      </c>
      <c r="L47" s="78">
        <f t="shared" si="7"/>
        <v>366406.75777547481</v>
      </c>
      <c r="M47" s="78">
        <f>SUMIF('CHIRP Payment Calc'!H:H,A47,'CHIRP Payment Calc'!AJ:AJ)</f>
        <v>0</v>
      </c>
      <c r="N47" s="78">
        <f>SUMIF('CHIRP Payment Calc'!H:H,A47,'CHIRP Payment Calc'!AK:AK)</f>
        <v>0</v>
      </c>
      <c r="O47" s="76">
        <f t="shared" si="8"/>
        <v>0</v>
      </c>
      <c r="P47" s="78">
        <f t="shared" si="9"/>
        <v>366406.75777547481</v>
      </c>
      <c r="Q47" s="80">
        <f>COUNTIF('CHIRP Payment Calc'!H:H,A47)</f>
        <v>1</v>
      </c>
    </row>
    <row r="48" spans="1:17">
      <c r="A48" s="75" t="s">
        <v>3046</v>
      </c>
      <c r="B48" s="76">
        <f>SUMIF('CHIRP Payment Calc'!H:H,A48,'CHIRP Payment Calc'!L:L)</f>
        <v>-2377176.4701220365</v>
      </c>
      <c r="C48" s="76">
        <f>SUMIF('CHIRP Payment Calc'!H:H,A48,'CHIRP Payment Calc'!M:M)</f>
        <v>3881963.0037347549</v>
      </c>
      <c r="D48" s="76">
        <f>SUMIF('CHIRP Payment Calc'!H:H,A48,'CHIRP Payment Calc'!N:N)</f>
        <v>1504786.5336127193</v>
      </c>
      <c r="E48" s="76">
        <f>SUMIF('CHIRP Payment Calc'!H:H,A48,'CHIRP Payment Calc'!I:I)</f>
        <v>15847230.385510713</v>
      </c>
      <c r="F48" s="76">
        <f>SUMIF('CHIRP Payment Calc'!H:H,A48,'CHIRP Payment Calc'!J:J)</f>
        <v>22209310.977366682</v>
      </c>
      <c r="G48" s="76">
        <f>SUMIF('CHIRP Payment Calc'!H:H,A48,'CHIRP Payment Calc'!K:K)</f>
        <v>38056541.362877384</v>
      </c>
      <c r="H48" s="77">
        <f t="shared" si="5"/>
        <v>0</v>
      </c>
      <c r="I48" s="77">
        <f t="shared" si="6"/>
        <v>0.17</v>
      </c>
      <c r="J48" s="78">
        <f t="shared" si="10"/>
        <v>0</v>
      </c>
      <c r="K48" s="78">
        <f t="shared" si="11"/>
        <v>3775582.8661523364</v>
      </c>
      <c r="L48" s="78">
        <f t="shared" si="7"/>
        <v>3775582.8661523364</v>
      </c>
      <c r="M48" s="78">
        <f>SUMIF('CHIRP Payment Calc'!H:H,A48,'CHIRP Payment Calc'!AJ:AJ)</f>
        <v>0</v>
      </c>
      <c r="N48" s="78">
        <f>SUMIF('CHIRP Payment Calc'!H:H,A48,'CHIRP Payment Calc'!AK:AK)</f>
        <v>9248435.3020723648</v>
      </c>
      <c r="O48" s="76">
        <f t="shared" si="8"/>
        <v>9248435.3020723648</v>
      </c>
      <c r="P48" s="78">
        <f t="shared" si="9"/>
        <v>13024018.168224702</v>
      </c>
      <c r="Q48" s="80">
        <f>COUNTIF('CHIRP Payment Calc'!H:H,A48)</f>
        <v>24</v>
      </c>
    </row>
    <row r="49" spans="1:17">
      <c r="A49" s="75" t="s">
        <v>3047</v>
      </c>
      <c r="B49" s="76">
        <f>SUMIF('CHIRP Payment Calc'!H:H,A49,'CHIRP Payment Calc'!L:L)</f>
        <v>983915.39999999991</v>
      </c>
      <c r="C49" s="76">
        <f>SUMIF('CHIRP Payment Calc'!H:H,A49,'CHIRP Payment Calc'!M:M)</f>
        <v>0</v>
      </c>
      <c r="D49" s="76">
        <f>SUMIF('CHIRP Payment Calc'!H:H,A49,'CHIRP Payment Calc'!N:N)</f>
        <v>983915.39999999991</v>
      </c>
      <c r="E49" s="76">
        <f>SUMIF('CHIRP Payment Calc'!H:H,A49,'CHIRP Payment Calc'!I:I)</f>
        <v>2367470.041442018</v>
      </c>
      <c r="F49" s="76">
        <f>SUMIF('CHIRP Payment Calc'!H:H,A49,'CHIRP Payment Calc'!J:J)</f>
        <v>0</v>
      </c>
      <c r="G49" s="76">
        <f>SUMIF('CHIRP Payment Calc'!H:H,A49,'CHIRP Payment Calc'!K:K)</f>
        <v>2367470.041442018</v>
      </c>
      <c r="H49" s="77">
        <f t="shared" si="5"/>
        <v>0.42</v>
      </c>
      <c r="I49" s="77">
        <f t="shared" si="6"/>
        <v>0</v>
      </c>
      <c r="J49" s="78">
        <f t="shared" si="10"/>
        <v>994337.41740564757</v>
      </c>
      <c r="K49" s="78">
        <f t="shared" si="11"/>
        <v>0</v>
      </c>
      <c r="L49" s="78">
        <f t="shared" si="7"/>
        <v>994337.41740564757</v>
      </c>
      <c r="M49" s="78">
        <f>SUMIF('CHIRP Payment Calc'!H:H,A49,'CHIRP Payment Calc'!AJ:AJ)</f>
        <v>0</v>
      </c>
      <c r="N49" s="78">
        <f>SUMIF('CHIRP Payment Calc'!H:H,A49,'CHIRP Payment Calc'!AK:AK)</f>
        <v>0</v>
      </c>
      <c r="O49" s="76">
        <f t="shared" si="8"/>
        <v>0</v>
      </c>
      <c r="P49" s="78">
        <f t="shared" si="9"/>
        <v>994337.41740564757</v>
      </c>
      <c r="Q49" s="80">
        <f>COUNTIF('CHIRP Payment Calc'!H:H,A49)</f>
        <v>2</v>
      </c>
    </row>
    <row r="50" spans="1:17">
      <c r="A50" s="75" t="s">
        <v>3048</v>
      </c>
      <c r="B50" s="76">
        <f>SUMIF('CHIRP Payment Calc'!H:H,A50,'CHIRP Payment Calc'!L:L)</f>
        <v>0</v>
      </c>
      <c r="C50" s="76">
        <f>SUMIF('CHIRP Payment Calc'!H:H,A50,'CHIRP Payment Calc'!M:M)</f>
        <v>0</v>
      </c>
      <c r="D50" s="76">
        <f>SUMIF('CHIRP Payment Calc'!H:H,A50,'CHIRP Payment Calc'!N:N)</f>
        <v>0</v>
      </c>
      <c r="E50" s="76">
        <f>SUMIF('CHIRP Payment Calc'!H:H,A50,'CHIRP Payment Calc'!I:I)</f>
        <v>0</v>
      </c>
      <c r="F50" s="76">
        <f>SUMIF('CHIRP Payment Calc'!H:H,A50,'CHIRP Payment Calc'!J:J)</f>
        <v>0</v>
      </c>
      <c r="G50" s="76">
        <f>SUMIF('CHIRP Payment Calc'!H:H,A50,'CHIRP Payment Calc'!K:K)</f>
        <v>0</v>
      </c>
      <c r="H50" s="77">
        <f t="shared" si="5"/>
        <v>0</v>
      </c>
      <c r="I50" s="77">
        <f t="shared" si="6"/>
        <v>0</v>
      </c>
      <c r="J50" s="78">
        <f t="shared" si="10"/>
        <v>0</v>
      </c>
      <c r="K50" s="78">
        <f t="shared" si="11"/>
        <v>0</v>
      </c>
      <c r="L50" s="78">
        <f t="shared" si="7"/>
        <v>0</v>
      </c>
      <c r="M50" s="78">
        <f>SUMIF('CHIRP Payment Calc'!H:H,A50,'CHIRP Payment Calc'!AJ:AJ)</f>
        <v>0</v>
      </c>
      <c r="N50" s="78">
        <f>SUMIF('CHIRP Payment Calc'!H:H,A50,'CHIRP Payment Calc'!AK:AK)</f>
        <v>0</v>
      </c>
      <c r="O50" s="76">
        <f t="shared" si="8"/>
        <v>0</v>
      </c>
      <c r="P50" s="78">
        <f t="shared" si="9"/>
        <v>0</v>
      </c>
      <c r="Q50" s="80">
        <f>COUNTIF('CHIRP Payment Calc'!H:H,A50)</f>
        <v>0</v>
      </c>
    </row>
    <row r="51" spans="1:17">
      <c r="A51" s="75" t="s">
        <v>3049</v>
      </c>
      <c r="B51" s="76">
        <f>SUMIF('CHIRP Payment Calc'!H:H,A51,'CHIRP Payment Calc'!L:L)</f>
        <v>1562912.98</v>
      </c>
      <c r="C51" s="76">
        <f>SUMIF('CHIRP Payment Calc'!H:H,A51,'CHIRP Payment Calc'!M:M)</f>
        <v>0</v>
      </c>
      <c r="D51" s="76">
        <f>SUMIF('CHIRP Payment Calc'!H:H,A51,'CHIRP Payment Calc'!N:N)</f>
        <v>1562912.98</v>
      </c>
      <c r="E51" s="76">
        <f>SUMIF('CHIRP Payment Calc'!H:H,A51,'CHIRP Payment Calc'!I:I)</f>
        <v>4648811.6386523228</v>
      </c>
      <c r="F51" s="76">
        <f>SUMIF('CHIRP Payment Calc'!H:H,A51,'CHIRP Payment Calc'!J:J)</f>
        <v>0</v>
      </c>
      <c r="G51" s="76">
        <f>SUMIF('CHIRP Payment Calc'!H:H,A51,'CHIRP Payment Calc'!K:K)</f>
        <v>4648811.6386523228</v>
      </c>
      <c r="H51" s="77">
        <f t="shared" si="5"/>
        <v>0.34</v>
      </c>
      <c r="I51" s="77">
        <f t="shared" si="6"/>
        <v>0</v>
      </c>
      <c r="J51" s="78">
        <f t="shared" si="10"/>
        <v>1580595.9571417898</v>
      </c>
      <c r="K51" s="78">
        <f t="shared" si="11"/>
        <v>0</v>
      </c>
      <c r="L51" s="78">
        <f t="shared" si="7"/>
        <v>1580595.9571417898</v>
      </c>
      <c r="M51" s="78">
        <f>SUMIF('CHIRP Payment Calc'!H:H,A51,'CHIRP Payment Calc'!AJ:AJ)</f>
        <v>0</v>
      </c>
      <c r="N51" s="78">
        <f>SUMIF('CHIRP Payment Calc'!H:H,A51,'CHIRP Payment Calc'!AK:AK)</f>
        <v>0</v>
      </c>
      <c r="O51" s="76">
        <f t="shared" si="8"/>
        <v>0</v>
      </c>
      <c r="P51" s="78">
        <f t="shared" si="9"/>
        <v>1580595.9571417898</v>
      </c>
      <c r="Q51" s="80">
        <f>COUNTIF('CHIRP Payment Calc'!H:H,A51)</f>
        <v>4</v>
      </c>
    </row>
    <row r="52" spans="1:17">
      <c r="A52" s="75" t="s">
        <v>3050</v>
      </c>
      <c r="B52" s="76">
        <f>SUMIF('CHIRP Payment Calc'!H:H,A52,'CHIRP Payment Calc'!L:L)</f>
        <v>186991.35</v>
      </c>
      <c r="C52" s="76">
        <f>SUMIF('CHIRP Payment Calc'!H:H,A52,'CHIRP Payment Calc'!M:M)</f>
        <v>0</v>
      </c>
      <c r="D52" s="76">
        <f>SUMIF('CHIRP Payment Calc'!H:H,A52,'CHIRP Payment Calc'!N:N)</f>
        <v>186991.35</v>
      </c>
      <c r="E52" s="76">
        <f>SUMIF('CHIRP Payment Calc'!H:H,A52,'CHIRP Payment Calc'!I:I)</f>
        <v>65431.453357749066</v>
      </c>
      <c r="F52" s="76">
        <f>SUMIF('CHIRP Payment Calc'!H:H,A52,'CHIRP Payment Calc'!J:J)</f>
        <v>0</v>
      </c>
      <c r="G52" s="76">
        <f>SUMIF('CHIRP Payment Calc'!H:H,A52,'CHIRP Payment Calc'!K:K)</f>
        <v>65431.453357749066</v>
      </c>
      <c r="H52" s="77">
        <f t="shared" si="5"/>
        <v>2.86</v>
      </c>
      <c r="I52" s="77">
        <f t="shared" si="6"/>
        <v>0</v>
      </c>
      <c r="J52" s="78">
        <f t="shared" si="10"/>
        <v>187133.95660316231</v>
      </c>
      <c r="K52" s="78">
        <f t="shared" si="11"/>
        <v>0</v>
      </c>
      <c r="L52" s="78">
        <f t="shared" si="7"/>
        <v>187133.95660316231</v>
      </c>
      <c r="M52" s="78">
        <f>SUMIF('CHIRP Payment Calc'!H:H,A52,'CHIRP Payment Calc'!AJ:AJ)</f>
        <v>0</v>
      </c>
      <c r="N52" s="78">
        <f>SUMIF('CHIRP Payment Calc'!H:H,A52,'CHIRP Payment Calc'!AK:AK)</f>
        <v>0</v>
      </c>
      <c r="O52" s="76">
        <f t="shared" si="8"/>
        <v>0</v>
      </c>
      <c r="P52" s="78">
        <f t="shared" si="9"/>
        <v>187133.95660316231</v>
      </c>
      <c r="Q52" s="80">
        <f>COUNTIF('CHIRP Payment Calc'!H:H,A52)</f>
        <v>1</v>
      </c>
    </row>
    <row r="53" spans="1:17">
      <c r="A53" s="75" t="s">
        <v>3051</v>
      </c>
      <c r="B53" s="76">
        <f>SUMIF('CHIRP Payment Calc'!H:H,A53,'CHIRP Payment Calc'!L:L)</f>
        <v>133401.38</v>
      </c>
      <c r="C53" s="76">
        <f>SUMIF('CHIRP Payment Calc'!H:H,A53,'CHIRP Payment Calc'!M:M)</f>
        <v>0</v>
      </c>
      <c r="D53" s="76">
        <f>SUMIF('CHIRP Payment Calc'!H:H,A53,'CHIRP Payment Calc'!N:N)</f>
        <v>133401.38</v>
      </c>
      <c r="E53" s="76">
        <f>SUMIF('CHIRP Payment Calc'!H:H,A53,'CHIRP Payment Calc'!I:I)</f>
        <v>6818.0430852158661</v>
      </c>
      <c r="F53" s="76">
        <f>SUMIF('CHIRP Payment Calc'!H:H,A53,'CHIRP Payment Calc'!J:J)</f>
        <v>0</v>
      </c>
      <c r="G53" s="76">
        <f>SUMIF('CHIRP Payment Calc'!H:H,A53,'CHIRP Payment Calc'!K:K)</f>
        <v>6818.0430852158661</v>
      </c>
      <c r="H53" s="77">
        <f t="shared" si="5"/>
        <v>19.57</v>
      </c>
      <c r="I53" s="77">
        <f t="shared" si="6"/>
        <v>0</v>
      </c>
      <c r="J53" s="78">
        <f t="shared" si="10"/>
        <v>133429.10317767449</v>
      </c>
      <c r="K53" s="78">
        <f t="shared" si="11"/>
        <v>0</v>
      </c>
      <c r="L53" s="78">
        <f t="shared" si="7"/>
        <v>133429.10317767449</v>
      </c>
      <c r="M53" s="78">
        <f>SUMIF('CHIRP Payment Calc'!H:H,A53,'CHIRP Payment Calc'!AJ:AJ)</f>
        <v>0</v>
      </c>
      <c r="N53" s="78">
        <f>SUMIF('CHIRP Payment Calc'!H:H,A53,'CHIRP Payment Calc'!AK:AK)</f>
        <v>0</v>
      </c>
      <c r="O53" s="76">
        <f t="shared" si="8"/>
        <v>0</v>
      </c>
      <c r="P53" s="78">
        <f t="shared" si="9"/>
        <v>133429.10317767449</v>
      </c>
      <c r="Q53" s="80">
        <f>COUNTIF('CHIRP Payment Calc'!H:H,A53)</f>
        <v>1</v>
      </c>
    </row>
    <row r="54" spans="1:17">
      <c r="A54" s="75" t="s">
        <v>3052</v>
      </c>
      <c r="B54" s="76">
        <f>SUMIF('CHIRP Payment Calc'!H:H,A54,'CHIRP Payment Calc'!L:L)</f>
        <v>267794.74</v>
      </c>
      <c r="C54" s="76">
        <f>SUMIF('CHIRP Payment Calc'!H:H,A54,'CHIRP Payment Calc'!M:M)</f>
        <v>0</v>
      </c>
      <c r="D54" s="76">
        <f>SUMIF('CHIRP Payment Calc'!H:H,A54,'CHIRP Payment Calc'!N:N)</f>
        <v>267794.74</v>
      </c>
      <c r="E54" s="76">
        <f>SUMIF('CHIRP Payment Calc'!H:H,A54,'CHIRP Payment Calc'!I:I)</f>
        <v>157006.85230296309</v>
      </c>
      <c r="F54" s="76">
        <f>SUMIF('CHIRP Payment Calc'!H:H,A54,'CHIRP Payment Calc'!J:J)</f>
        <v>0</v>
      </c>
      <c r="G54" s="76">
        <f>SUMIF('CHIRP Payment Calc'!H:H,A54,'CHIRP Payment Calc'!K:K)</f>
        <v>157006.85230296309</v>
      </c>
      <c r="H54" s="77">
        <f t="shared" si="5"/>
        <v>1.71</v>
      </c>
      <c r="I54" s="77">
        <f t="shared" si="6"/>
        <v>0</v>
      </c>
      <c r="J54" s="78">
        <f t="shared" si="10"/>
        <v>268481.7174380669</v>
      </c>
      <c r="K54" s="78">
        <f t="shared" si="11"/>
        <v>0</v>
      </c>
      <c r="L54" s="78">
        <f t="shared" si="7"/>
        <v>268481.7174380669</v>
      </c>
      <c r="M54" s="78">
        <f>SUMIF('CHIRP Payment Calc'!H:H,A54,'CHIRP Payment Calc'!AJ:AJ)</f>
        <v>0</v>
      </c>
      <c r="N54" s="78">
        <f>SUMIF('CHIRP Payment Calc'!H:H,A54,'CHIRP Payment Calc'!AK:AK)</f>
        <v>0</v>
      </c>
      <c r="O54" s="76">
        <f t="shared" si="8"/>
        <v>0</v>
      </c>
      <c r="P54" s="78">
        <f t="shared" si="9"/>
        <v>268481.7174380669</v>
      </c>
      <c r="Q54" s="80">
        <f>COUNTIF('CHIRP Payment Calc'!H:H,A54)</f>
        <v>1</v>
      </c>
    </row>
    <row r="55" spans="1:17">
      <c r="A55" s="75" t="s">
        <v>3053</v>
      </c>
      <c r="B55" s="76">
        <f>SUMIF('CHIRP Payment Calc'!H:H,A55,'CHIRP Payment Calc'!L:L)</f>
        <v>256211.76</v>
      </c>
      <c r="C55" s="76">
        <f>SUMIF('CHIRP Payment Calc'!H:H,A55,'CHIRP Payment Calc'!M:M)</f>
        <v>0</v>
      </c>
      <c r="D55" s="76">
        <f>SUMIF('CHIRP Payment Calc'!H:H,A55,'CHIRP Payment Calc'!N:N)</f>
        <v>256211.76</v>
      </c>
      <c r="E55" s="76">
        <f>SUMIF('CHIRP Payment Calc'!H:H,A55,'CHIRP Payment Calc'!I:I)</f>
        <v>41516.563742992228</v>
      </c>
      <c r="F55" s="76">
        <f>SUMIF('CHIRP Payment Calc'!H:H,A55,'CHIRP Payment Calc'!J:J)</f>
        <v>0</v>
      </c>
      <c r="G55" s="76">
        <f>SUMIF('CHIRP Payment Calc'!H:H,A55,'CHIRP Payment Calc'!K:K)</f>
        <v>41516.563742992228</v>
      </c>
      <c r="H55" s="77">
        <f t="shared" si="5"/>
        <v>6.17</v>
      </c>
      <c r="I55" s="77">
        <f t="shared" si="6"/>
        <v>0</v>
      </c>
      <c r="J55" s="78">
        <f t="shared" si="10"/>
        <v>256157.19829426205</v>
      </c>
      <c r="K55" s="78">
        <f t="shared" si="11"/>
        <v>0</v>
      </c>
      <c r="L55" s="78">
        <f t="shared" si="7"/>
        <v>256157.19829426205</v>
      </c>
      <c r="M55" s="78">
        <f>SUMIF('CHIRP Payment Calc'!H:H,A55,'CHIRP Payment Calc'!AJ:AJ)</f>
        <v>0</v>
      </c>
      <c r="N55" s="78">
        <f>SUMIF('CHIRP Payment Calc'!H:H,A55,'CHIRP Payment Calc'!AK:AK)</f>
        <v>0</v>
      </c>
      <c r="O55" s="76">
        <f t="shared" si="8"/>
        <v>0</v>
      </c>
      <c r="P55" s="78">
        <f t="shared" si="9"/>
        <v>256157.19829426205</v>
      </c>
      <c r="Q55" s="80">
        <f>COUNTIF('CHIRP Payment Calc'!H:H,A55)</f>
        <v>1</v>
      </c>
    </row>
    <row r="56" spans="1:17">
      <c r="A56" s="75" t="s">
        <v>3054</v>
      </c>
      <c r="B56" s="76">
        <f>SUMIF('CHIRP Payment Calc'!H:H,A56,'CHIRP Payment Calc'!L:L)</f>
        <v>209967.51</v>
      </c>
      <c r="C56" s="76">
        <f>SUMIF('CHIRP Payment Calc'!H:H,A56,'CHIRP Payment Calc'!M:M)</f>
        <v>0</v>
      </c>
      <c r="D56" s="76">
        <f>SUMIF('CHIRP Payment Calc'!H:H,A56,'CHIRP Payment Calc'!N:N)</f>
        <v>209967.51</v>
      </c>
      <c r="E56" s="76">
        <f>SUMIF('CHIRP Payment Calc'!H:H,A56,'CHIRP Payment Calc'!I:I)</f>
        <v>2595.185427439159</v>
      </c>
      <c r="F56" s="76">
        <f>SUMIF('CHIRP Payment Calc'!H:H,A56,'CHIRP Payment Calc'!J:J)</f>
        <v>0</v>
      </c>
      <c r="G56" s="76">
        <f>SUMIF('CHIRP Payment Calc'!H:H,A56,'CHIRP Payment Calc'!K:K)</f>
        <v>2595.185427439159</v>
      </c>
      <c r="H56" s="77">
        <f t="shared" si="5"/>
        <v>80.91</v>
      </c>
      <c r="I56" s="77">
        <f t="shared" si="6"/>
        <v>0</v>
      </c>
      <c r="J56" s="78">
        <f t="shared" si="10"/>
        <v>209976.45293410233</v>
      </c>
      <c r="K56" s="78">
        <f t="shared" si="11"/>
        <v>0</v>
      </c>
      <c r="L56" s="78">
        <f t="shared" si="7"/>
        <v>209976.45293410233</v>
      </c>
      <c r="M56" s="78">
        <f>SUMIF('CHIRP Payment Calc'!H:H,A56,'CHIRP Payment Calc'!AJ:AJ)</f>
        <v>0</v>
      </c>
      <c r="N56" s="78">
        <f>SUMIF('CHIRP Payment Calc'!H:H,A56,'CHIRP Payment Calc'!AK:AK)</f>
        <v>0</v>
      </c>
      <c r="O56" s="76">
        <f t="shared" si="8"/>
        <v>0</v>
      </c>
      <c r="P56" s="78">
        <f t="shared" si="9"/>
        <v>209976.45293410233</v>
      </c>
      <c r="Q56" s="80">
        <f>COUNTIF('CHIRP Payment Calc'!H:H,A56)</f>
        <v>1</v>
      </c>
    </row>
    <row r="57" spans="1:17">
      <c r="A57" s="75" t="s">
        <v>3055</v>
      </c>
      <c r="B57" s="76">
        <f>SUMIF('CHIRP Payment Calc'!H:H,A57,'CHIRP Payment Calc'!L:L)</f>
        <v>0</v>
      </c>
      <c r="C57" s="76">
        <f>SUMIF('CHIRP Payment Calc'!H:H,A57,'CHIRP Payment Calc'!M:M)</f>
        <v>0</v>
      </c>
      <c r="D57" s="76">
        <f>SUMIF('CHIRP Payment Calc'!H:H,A57,'CHIRP Payment Calc'!N:N)</f>
        <v>0</v>
      </c>
      <c r="E57" s="76">
        <f>SUMIF('CHIRP Payment Calc'!H:H,A57,'CHIRP Payment Calc'!I:I)</f>
        <v>0</v>
      </c>
      <c r="F57" s="76">
        <f>SUMIF('CHIRP Payment Calc'!H:H,A57,'CHIRP Payment Calc'!J:J)</f>
        <v>0</v>
      </c>
      <c r="G57" s="76">
        <f>SUMIF('CHIRP Payment Calc'!H:H,A57,'CHIRP Payment Calc'!K:K)</f>
        <v>0</v>
      </c>
      <c r="H57" s="77">
        <f t="shared" si="5"/>
        <v>0</v>
      </c>
      <c r="I57" s="77">
        <f t="shared" si="6"/>
        <v>0</v>
      </c>
      <c r="J57" s="78">
        <f t="shared" si="10"/>
        <v>0</v>
      </c>
      <c r="K57" s="78">
        <f t="shared" si="11"/>
        <v>0</v>
      </c>
      <c r="L57" s="78">
        <f t="shared" si="7"/>
        <v>0</v>
      </c>
      <c r="M57" s="78">
        <f>SUMIF('CHIRP Payment Calc'!H:H,A57,'CHIRP Payment Calc'!AJ:AJ)</f>
        <v>0</v>
      </c>
      <c r="N57" s="78">
        <f>SUMIF('CHIRP Payment Calc'!H:H,A57,'CHIRP Payment Calc'!AK:AK)</f>
        <v>0</v>
      </c>
      <c r="O57" s="76">
        <f t="shared" si="8"/>
        <v>0</v>
      </c>
      <c r="P57" s="78">
        <f t="shared" si="9"/>
        <v>0</v>
      </c>
      <c r="Q57" s="80">
        <f>COUNTIF('CHIRP Payment Calc'!H:H,A57)</f>
        <v>1</v>
      </c>
    </row>
    <row r="58" spans="1:17">
      <c r="A58" s="75" t="s">
        <v>3056</v>
      </c>
      <c r="B58" s="76">
        <f>SUMIF('CHIRP Payment Calc'!H:H,A58,'CHIRP Payment Calc'!L:L)</f>
        <v>338292.1</v>
      </c>
      <c r="C58" s="76">
        <f>SUMIF('CHIRP Payment Calc'!H:H,A58,'CHIRP Payment Calc'!M:M)</f>
        <v>0</v>
      </c>
      <c r="D58" s="76">
        <f>SUMIF('CHIRP Payment Calc'!H:H,A58,'CHIRP Payment Calc'!N:N)</f>
        <v>338292.1</v>
      </c>
      <c r="E58" s="76">
        <f>SUMIF('CHIRP Payment Calc'!H:H,A58,'CHIRP Payment Calc'!I:I)</f>
        <v>8586.3988397434005</v>
      </c>
      <c r="F58" s="76">
        <f>SUMIF('CHIRP Payment Calc'!H:H,A58,'CHIRP Payment Calc'!J:J)</f>
        <v>0</v>
      </c>
      <c r="G58" s="76">
        <f>SUMIF('CHIRP Payment Calc'!H:H,A58,'CHIRP Payment Calc'!K:K)</f>
        <v>8586.3988397434005</v>
      </c>
      <c r="H58" s="77">
        <f t="shared" si="5"/>
        <v>39.4</v>
      </c>
      <c r="I58" s="77">
        <f t="shared" si="6"/>
        <v>0</v>
      </c>
      <c r="J58" s="78">
        <f>+H58*E58</f>
        <v>338304.11428588995</v>
      </c>
      <c r="K58" s="78">
        <f t="shared" si="11"/>
        <v>0</v>
      </c>
      <c r="L58" s="78">
        <f t="shared" si="7"/>
        <v>338304.11428588995</v>
      </c>
      <c r="M58" s="78">
        <f>SUMIF('CHIRP Payment Calc'!H:H,A58,'CHIRP Payment Calc'!AJ:AJ)</f>
        <v>0</v>
      </c>
      <c r="N58" s="78">
        <f>SUMIF('CHIRP Payment Calc'!H:H,A58,'CHIRP Payment Calc'!AK:AK)</f>
        <v>0</v>
      </c>
      <c r="O58" s="76">
        <f t="shared" si="8"/>
        <v>0</v>
      </c>
      <c r="P58" s="78">
        <f t="shared" si="9"/>
        <v>338304.11428588995</v>
      </c>
      <c r="Q58" s="80">
        <f>COUNTIF('CHIRP Payment Calc'!H:H,A58)</f>
        <v>1</v>
      </c>
    </row>
    <row r="59" spans="1:17">
      <c r="A59" s="75" t="s">
        <v>3057</v>
      </c>
      <c r="B59" s="76">
        <f>SUMIF('CHIRP Payment Calc'!H:H,A59,'CHIRP Payment Calc'!L:L)</f>
        <v>0</v>
      </c>
      <c r="C59" s="76">
        <f>SUMIF('CHIRP Payment Calc'!H:H,A59,'CHIRP Payment Calc'!M:M)</f>
        <v>0</v>
      </c>
      <c r="D59" s="76">
        <f>SUMIF('CHIRP Payment Calc'!H:H,A59,'CHIRP Payment Calc'!N:N)</f>
        <v>0</v>
      </c>
      <c r="E59" s="76">
        <f>SUMIF('CHIRP Payment Calc'!H:H,A59,'CHIRP Payment Calc'!I:I)</f>
        <v>0</v>
      </c>
      <c r="F59" s="76">
        <f>SUMIF('CHIRP Payment Calc'!H:H,A59,'CHIRP Payment Calc'!J:J)</f>
        <v>0</v>
      </c>
      <c r="G59" s="76">
        <f>SUMIF('CHIRP Payment Calc'!H:H,A59,'CHIRP Payment Calc'!K:K)</f>
        <v>0</v>
      </c>
      <c r="H59" s="77">
        <f t="shared" si="5"/>
        <v>0</v>
      </c>
      <c r="I59" s="77">
        <f t="shared" si="6"/>
        <v>0</v>
      </c>
      <c r="J59" s="78">
        <f t="shared" si="10"/>
        <v>0</v>
      </c>
      <c r="K59" s="78">
        <f t="shared" si="11"/>
        <v>0</v>
      </c>
      <c r="L59" s="78">
        <f t="shared" si="7"/>
        <v>0</v>
      </c>
      <c r="M59" s="78">
        <f>SUMIF('CHIRP Payment Calc'!H:H,A59,'CHIRP Payment Calc'!AJ:AJ)</f>
        <v>0</v>
      </c>
      <c r="N59" s="78">
        <f>SUMIF('CHIRP Payment Calc'!H:H,A59,'CHIRP Payment Calc'!AK:AK)</f>
        <v>0</v>
      </c>
      <c r="O59" s="76">
        <f t="shared" si="8"/>
        <v>0</v>
      </c>
      <c r="P59" s="78">
        <f t="shared" si="9"/>
        <v>0</v>
      </c>
      <c r="Q59" s="80">
        <f>COUNTIF('CHIRP Payment Calc'!H:H,A59)</f>
        <v>1</v>
      </c>
    </row>
    <row r="60" spans="1:17">
      <c r="A60" s="75" t="s">
        <v>3058</v>
      </c>
      <c r="B60" s="76">
        <f>SUMIF('CHIRP Payment Calc'!H:H,A60,'CHIRP Payment Calc'!L:L)</f>
        <v>34086.910000000003</v>
      </c>
      <c r="C60" s="76">
        <f>SUMIF('CHIRP Payment Calc'!H:H,A60,'CHIRP Payment Calc'!M:M)</f>
        <v>0</v>
      </c>
      <c r="D60" s="76">
        <f>SUMIF('CHIRP Payment Calc'!H:H,A60,'CHIRP Payment Calc'!N:N)</f>
        <v>34086.910000000003</v>
      </c>
      <c r="E60" s="76">
        <f>SUMIF('CHIRP Payment Calc'!H:H,A60,'CHIRP Payment Calc'!I:I)</f>
        <v>0</v>
      </c>
      <c r="F60" s="76">
        <f>SUMIF('CHIRP Payment Calc'!H:H,A60,'CHIRP Payment Calc'!J:J)</f>
        <v>0</v>
      </c>
      <c r="G60" s="76">
        <f>SUMIF('CHIRP Payment Calc'!H:H,A60,'CHIRP Payment Calc'!K:K)</f>
        <v>0</v>
      </c>
      <c r="H60" s="77">
        <f t="shared" si="5"/>
        <v>0</v>
      </c>
      <c r="I60" s="77">
        <f t="shared" si="6"/>
        <v>0</v>
      </c>
      <c r="J60" s="78">
        <f t="shared" si="10"/>
        <v>0</v>
      </c>
      <c r="K60" s="78">
        <f t="shared" si="11"/>
        <v>0</v>
      </c>
      <c r="L60" s="78">
        <f t="shared" si="7"/>
        <v>0</v>
      </c>
      <c r="M60" s="78">
        <f>SUMIF('CHIRP Payment Calc'!H:H,A60,'CHIRP Payment Calc'!AJ:AJ)</f>
        <v>0</v>
      </c>
      <c r="N60" s="78">
        <f>SUMIF('CHIRP Payment Calc'!H:H,A60,'CHIRP Payment Calc'!AK:AK)</f>
        <v>0</v>
      </c>
      <c r="O60" s="76">
        <f t="shared" si="8"/>
        <v>0</v>
      </c>
      <c r="P60" s="78">
        <f t="shared" si="9"/>
        <v>0</v>
      </c>
      <c r="Q60" s="80">
        <f>COUNTIF('CHIRP Payment Calc'!H:H,A60)</f>
        <v>1</v>
      </c>
    </row>
    <row r="61" spans="1:17" ht="15.75" thickBot="1">
      <c r="A61" s="25" t="s">
        <v>3059</v>
      </c>
      <c r="B61" s="81">
        <f>SUMIF('CHIRP Payment Calc'!H:H,A61,'CHIRP Payment Calc'!L:L)</f>
        <v>0</v>
      </c>
      <c r="C61" s="81">
        <f>SUMIF('CHIRP Payment Calc'!H:H,A61,'CHIRP Payment Calc'!M:M)</f>
        <v>0</v>
      </c>
      <c r="D61" s="81">
        <f>SUMIF('CHIRP Payment Calc'!H:H,A61,'CHIRP Payment Calc'!N:N)</f>
        <v>0</v>
      </c>
      <c r="E61" s="81">
        <f>SUMIF('CHIRP Payment Calc'!H:H,A61,'CHIRP Payment Calc'!I:I)</f>
        <v>0</v>
      </c>
      <c r="F61" s="81">
        <f>SUMIF('CHIRP Payment Calc'!H:H,A61,'CHIRP Payment Calc'!J:J)</f>
        <v>0</v>
      </c>
      <c r="G61" s="81">
        <f>SUMIF('CHIRP Payment Calc'!H:H,A61,'CHIRP Payment Calc'!K:K)</f>
        <v>0</v>
      </c>
      <c r="H61" s="119">
        <f t="shared" si="5"/>
        <v>0</v>
      </c>
      <c r="I61" s="119">
        <f t="shared" si="6"/>
        <v>0</v>
      </c>
      <c r="J61" s="147">
        <f t="shared" si="10"/>
        <v>0</v>
      </c>
      <c r="K61" s="147">
        <f t="shared" si="11"/>
        <v>0</v>
      </c>
      <c r="L61" s="147">
        <f t="shared" si="7"/>
        <v>0</v>
      </c>
      <c r="M61" s="147">
        <f>SUMIF('CHIRP Payment Calc'!H:H,A61,'CHIRP Payment Calc'!AJ:AJ)</f>
        <v>0</v>
      </c>
      <c r="N61" s="147">
        <f>SUMIF('CHIRP Payment Calc'!H:H,A61,'CHIRP Payment Calc'!AK:AK)</f>
        <v>0</v>
      </c>
      <c r="O61" s="81">
        <f t="shared" si="8"/>
        <v>0</v>
      </c>
      <c r="P61" s="147">
        <f t="shared" si="9"/>
        <v>0</v>
      </c>
      <c r="Q61" s="82">
        <f>COUNTIF('CHIRP Payment Calc'!H:H,A61)</f>
        <v>0</v>
      </c>
    </row>
    <row r="62" spans="1:17">
      <c r="J62" s="10"/>
      <c r="K62" s="10"/>
      <c r="L62" s="10"/>
      <c r="M62" s="10"/>
      <c r="N62" s="10"/>
      <c r="O62" s="8"/>
      <c r="P62" s="10"/>
    </row>
    <row r="63" spans="1:17">
      <c r="J63" s="10"/>
      <c r="K63" s="10"/>
      <c r="L63" s="10"/>
      <c r="M63" s="10"/>
      <c r="N63" s="10"/>
      <c r="O63" s="8"/>
      <c r="P63" s="10"/>
    </row>
    <row r="64" spans="1:17">
      <c r="H64" s="135"/>
      <c r="J64" s="10"/>
      <c r="K64" s="10"/>
      <c r="L64" s="10"/>
      <c r="M64" s="10"/>
      <c r="N64" s="10"/>
      <c r="O64" s="8"/>
      <c r="P64" s="10"/>
    </row>
    <row r="65" spans="10:16">
      <c r="J65" s="10"/>
      <c r="K65" s="10"/>
      <c r="L65" s="10"/>
      <c r="M65" s="10"/>
      <c r="N65" s="10"/>
      <c r="O65" s="8"/>
      <c r="P65" s="10"/>
    </row>
    <row r="66" spans="10:16">
      <c r="J66" s="10"/>
      <c r="K66" s="10"/>
      <c r="L66" s="10"/>
      <c r="M66" s="10"/>
      <c r="N66" s="10"/>
      <c r="O66" s="8"/>
      <c r="P66" s="10"/>
    </row>
    <row r="67" spans="10:16">
      <c r="J67" s="10"/>
      <c r="K67" s="10"/>
      <c r="L67" s="10"/>
      <c r="M67" s="10"/>
      <c r="N67" s="10"/>
      <c r="O67" s="8"/>
      <c r="P67" s="10"/>
    </row>
    <row r="68" spans="10:16">
      <c r="J68" s="10"/>
      <c r="K68" s="10"/>
      <c r="L68" s="10"/>
      <c r="M68" s="10"/>
      <c r="N68" s="10"/>
      <c r="O68" s="8"/>
      <c r="P68" s="10"/>
    </row>
  </sheetData>
  <pageMargins left="0.7" right="0.7" top="0.75" bottom="0.75" header="0.3" footer="0.3"/>
  <pageSetup scale="3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09A0-D9A9-43FE-B293-28A2C81FFBBB}">
  <sheetPr>
    <tabColor rgb="FFFFFF00"/>
  </sheetPr>
  <dimension ref="A1:R62"/>
  <sheetViews>
    <sheetView topLeftCell="F1" zoomScale="80" zoomScaleNormal="80" workbookViewId="0">
      <selection activeCell="J15" sqref="J15"/>
    </sheetView>
  </sheetViews>
  <sheetFormatPr defaultColWidth="8.796875" defaultRowHeight="15"/>
  <cols>
    <col min="1" max="1" width="29" style="9" customWidth="1"/>
    <col min="2" max="2" width="20.296875" style="7" customWidth="1"/>
    <col min="3" max="4" width="16.3984375" style="7" customWidth="1"/>
    <col min="5" max="5" width="19.796875" style="9" customWidth="1"/>
    <col min="6" max="7" width="17" style="9" customWidth="1"/>
    <col min="8" max="8" width="19.796875" style="9" customWidth="1"/>
    <col min="9" max="9" width="16.8984375" style="9" customWidth="1"/>
    <col min="10" max="10" width="14.8984375" customWidth="1"/>
    <col min="11" max="11" width="14.8984375" style="9" customWidth="1"/>
    <col min="12" max="12" width="14.796875" style="9" customWidth="1"/>
    <col min="13" max="13" width="13.69921875" style="9" customWidth="1"/>
    <col min="14" max="14" width="13.5" style="9" customWidth="1"/>
    <col min="15" max="15" width="16.19921875" style="9" customWidth="1"/>
    <col min="16" max="18" width="16.8984375" style="9" customWidth="1"/>
    <col min="19" max="16384" width="8.796875" style="9"/>
  </cols>
  <sheetData>
    <row r="1" spans="1:18" ht="19.5">
      <c r="A1" s="70" t="s">
        <v>3238</v>
      </c>
      <c r="B1" s="29"/>
      <c r="C1" s="29"/>
      <c r="D1" s="111"/>
    </row>
    <row r="2" spans="1:18" ht="16.5" customHeight="1" thickBot="1">
      <c r="A2" s="70"/>
      <c r="B2" s="108"/>
      <c r="C2" s="108"/>
      <c r="D2" s="112">
        <f>SUM(D4:D60)</f>
        <v>7789670045.5237045</v>
      </c>
      <c r="E2" s="112">
        <f t="shared" ref="E2:H2" si="0">SUM(E4:E60)</f>
        <v>2634890746.641499</v>
      </c>
      <c r="F2" s="112">
        <f t="shared" si="0"/>
        <v>319205041</v>
      </c>
      <c r="G2" s="112">
        <f t="shared" si="0"/>
        <v>2990040239.656074</v>
      </c>
      <c r="H2" s="112">
        <f t="shared" si="0"/>
        <v>1586744778.6768041</v>
      </c>
      <c r="I2" s="126"/>
      <c r="J2" s="112">
        <f>SUM(J4:J60)</f>
        <v>1281914266.5272264</v>
      </c>
      <c r="L2" s="112">
        <f>SUM(L4:L60)</f>
        <v>3254150957.6832414</v>
      </c>
      <c r="M2" s="112">
        <f t="shared" ref="M2:O2" si="1">SUM(M4:M60)</f>
        <v>998736464.2851603</v>
      </c>
      <c r="N2" s="112">
        <f t="shared" si="1"/>
        <v>1098215518.5697758</v>
      </c>
      <c r="O2" s="112">
        <f t="shared" si="1"/>
        <v>845042149.70354879</v>
      </c>
      <c r="P2" s="126"/>
      <c r="Q2" s="112">
        <f>SUM(Q4:Q60)</f>
        <v>773483727.57145727</v>
      </c>
      <c r="R2" s="126"/>
    </row>
    <row r="3" spans="1:18" ht="75" customHeight="1">
      <c r="A3" s="59" t="s">
        <v>3192</v>
      </c>
      <c r="B3" s="61" t="s">
        <v>2928</v>
      </c>
      <c r="C3" s="61" t="s">
        <v>3</v>
      </c>
      <c r="D3" s="125" t="s">
        <v>3207</v>
      </c>
      <c r="E3" s="125" t="s">
        <v>2942</v>
      </c>
      <c r="F3" s="125" t="s">
        <v>2943</v>
      </c>
      <c r="G3" s="125" t="s">
        <v>3202</v>
      </c>
      <c r="H3" s="125" t="s">
        <v>3236</v>
      </c>
      <c r="I3" s="125" t="s">
        <v>3225</v>
      </c>
      <c r="J3" s="125" t="s">
        <v>3229</v>
      </c>
      <c r="K3" s="125" t="s">
        <v>3227</v>
      </c>
      <c r="L3" s="128" t="s">
        <v>3208</v>
      </c>
      <c r="M3" s="128" t="s">
        <v>2944</v>
      </c>
      <c r="N3" s="128" t="s">
        <v>3220</v>
      </c>
      <c r="O3" s="128" t="s">
        <v>3237</v>
      </c>
      <c r="P3" s="128" t="s">
        <v>3226</v>
      </c>
      <c r="Q3" s="128" t="s">
        <v>3230</v>
      </c>
      <c r="R3" s="131" t="s">
        <v>3231</v>
      </c>
    </row>
    <row r="4" spans="1:18">
      <c r="A4" s="24" t="s">
        <v>3048</v>
      </c>
      <c r="B4" s="109" t="s">
        <v>2917</v>
      </c>
      <c r="C4" s="109" t="s">
        <v>300</v>
      </c>
      <c r="D4" s="71">
        <f>SUMIFS('CHIRP Payment Calc'!AZ:AZ,'CHIRP Payment Calc'!H:H,A4)</f>
        <v>0</v>
      </c>
      <c r="E4" s="71">
        <f>SUMIFS('CHIRP Payment Calc'!AT:AT,'CHIRP Payment Calc'!H:H,A4)-SUMIFS('CHIRP Payment Calc'!BG:BG,'CHIRP Payment Calc'!H:H,A4)</f>
        <v>0</v>
      </c>
      <c r="F4" s="71">
        <f>SUMIFS('CHIRP Payment Calc'!BG:BG,'CHIRP Payment Calc'!H:H,A4)</f>
        <v>0</v>
      </c>
      <c r="G4" s="71">
        <f>SUMIFS('CHIRP Payment Calc'!V:V,'CHIRP Payment Calc'!H:H,A4)</f>
        <v>0</v>
      </c>
      <c r="H4" s="71">
        <f>SUMIFS('CHIRP Payment Calc'!AE:AE,'CHIRP Payment Calc'!H:H,A4)</f>
        <v>0</v>
      </c>
      <c r="I4" s="127">
        <f>IFERROR(SUM(E4:H4)/D4,0)</f>
        <v>0</v>
      </c>
      <c r="J4" s="71">
        <f>MAX(MIN(0.9*D4-E4-F4-G4,H4),0)</f>
        <v>0</v>
      </c>
      <c r="K4" s="127">
        <f>IFERROR(J4/H4,0)</f>
        <v>0</v>
      </c>
      <c r="L4" s="71">
        <f>SUMIFS('CHIRP Payment Calc'!BA:BA,'CHIRP Payment Calc'!H:H,A4)</f>
        <v>0</v>
      </c>
      <c r="M4" s="71">
        <f>SUMIFS('CHIRP Payment Calc'!AU:AU,'CHIRP Payment Calc'!H:H,A4)</f>
        <v>0</v>
      </c>
      <c r="N4" s="71">
        <f>SUMIFS('CHIRP Payment Calc'!W:W,'CHIRP Payment Calc'!H:H,A4)</f>
        <v>0</v>
      </c>
      <c r="O4" s="71">
        <f>SUMIFS('CHIRP Payment Calc'!AF:AF,'CHIRP Payment Calc'!H:H,A4)</f>
        <v>0</v>
      </c>
      <c r="P4" s="127">
        <f>IFERROR(SUM(M4:O4)/L4,0)</f>
        <v>0</v>
      </c>
      <c r="Q4" s="71">
        <f>MAX(MIN(0.9*L4-M4-N4,O4),0)</f>
        <v>0</v>
      </c>
      <c r="R4" s="132">
        <f>IFERROR(Q4/O4,0)</f>
        <v>0</v>
      </c>
    </row>
    <row r="5" spans="1:18">
      <c r="A5" s="24" t="s">
        <v>3055</v>
      </c>
      <c r="B5" s="109" t="s">
        <v>2916</v>
      </c>
      <c r="C5" s="109" t="s">
        <v>487</v>
      </c>
      <c r="D5" s="71">
        <f>SUMIFS('CHIRP Payment Calc'!AZ:AZ,'CHIRP Payment Calc'!H:H,A5)</f>
        <v>0</v>
      </c>
      <c r="E5" s="71">
        <f>SUMIFS('CHIRP Payment Calc'!AT:AT,'CHIRP Payment Calc'!H:H,A5)-SUMIFS('CHIRP Payment Calc'!BG:BG,'CHIRP Payment Calc'!H:H,A5)</f>
        <v>0</v>
      </c>
      <c r="F5" s="71">
        <f>SUMIFS('CHIRP Payment Calc'!BG:BG,'CHIRP Payment Calc'!H:H,A5)</f>
        <v>0</v>
      </c>
      <c r="G5" s="71">
        <f>SUMIFS('CHIRP Payment Calc'!V:V,'CHIRP Payment Calc'!H:H,A5)</f>
        <v>0</v>
      </c>
      <c r="H5" s="71">
        <f>SUMIFS('CHIRP Payment Calc'!AE:AE,'CHIRP Payment Calc'!H:H,A5)</f>
        <v>0</v>
      </c>
      <c r="I5" s="127">
        <f t="shared" ref="I5:I60" si="2">IFERROR(SUM(E5:H5)/D5,0)</f>
        <v>0</v>
      </c>
      <c r="J5" s="71">
        <f t="shared" ref="J5:J60" si="3">MAX(MIN(0.9*D5-E5-F5-G5,H5),0)</f>
        <v>0</v>
      </c>
      <c r="K5" s="127">
        <f t="shared" ref="K5:K60" si="4">IFERROR(J5/H5,0)</f>
        <v>0</v>
      </c>
      <c r="L5" s="71">
        <f>SUMIFS('CHIRP Payment Calc'!BA:BA,'CHIRP Payment Calc'!H:H,A5)</f>
        <v>0</v>
      </c>
      <c r="M5" s="71">
        <f>SUMIFS('CHIRP Payment Calc'!AU:AU,'CHIRP Payment Calc'!H:H,A5)</f>
        <v>0</v>
      </c>
      <c r="N5" s="71">
        <f>SUMIFS('CHIRP Payment Calc'!W:W,'CHIRP Payment Calc'!H:H,A5)</f>
        <v>0</v>
      </c>
      <c r="O5" s="71">
        <f>SUMIFS('CHIRP Payment Calc'!AF:AF,'CHIRP Payment Calc'!H:H,A5)</f>
        <v>0</v>
      </c>
      <c r="P5" s="127">
        <f t="shared" ref="P5:P60" si="5">IFERROR(SUM(M5:O5)/L5,0)</f>
        <v>0</v>
      </c>
      <c r="Q5" s="71">
        <f t="shared" ref="Q5:Q60" si="6">MAX(MIN(0.9*L5-M5-N5,O5),0)</f>
        <v>0</v>
      </c>
      <c r="R5" s="132">
        <f t="shared" ref="R5:R60" si="7">IFERROR(Q5/O5,0)</f>
        <v>0</v>
      </c>
    </row>
    <row r="6" spans="1:18">
      <c r="A6" s="24" t="s">
        <v>3057</v>
      </c>
      <c r="B6" s="109" t="s">
        <v>2917</v>
      </c>
      <c r="C6" s="109" t="s">
        <v>1489</v>
      </c>
      <c r="D6" s="71">
        <f>SUMIFS('CHIRP Payment Calc'!AZ:AZ,'CHIRP Payment Calc'!H:H,A6)</f>
        <v>0</v>
      </c>
      <c r="E6" s="71">
        <f>SUMIFS('CHIRP Payment Calc'!AT:AT,'CHIRP Payment Calc'!H:H,A6)-SUMIFS('CHIRP Payment Calc'!BG:BG,'CHIRP Payment Calc'!H:H,A6)</f>
        <v>0</v>
      </c>
      <c r="F6" s="71">
        <f>SUMIFS('CHIRP Payment Calc'!BG:BG,'CHIRP Payment Calc'!H:H,A6)</f>
        <v>0</v>
      </c>
      <c r="G6" s="71">
        <f>SUMIFS('CHIRP Payment Calc'!V:V,'CHIRP Payment Calc'!H:H,A6)</f>
        <v>0</v>
      </c>
      <c r="H6" s="71">
        <f>SUMIFS('CHIRP Payment Calc'!AE:AE,'CHIRP Payment Calc'!H:H,A6)</f>
        <v>0</v>
      </c>
      <c r="I6" s="127">
        <f t="shared" si="2"/>
        <v>0</v>
      </c>
      <c r="J6" s="71">
        <f t="shared" si="3"/>
        <v>0</v>
      </c>
      <c r="K6" s="127">
        <f t="shared" si="4"/>
        <v>0</v>
      </c>
      <c r="L6" s="71">
        <f>SUMIFS('CHIRP Payment Calc'!BA:BA,'CHIRP Payment Calc'!H:H,A6)</f>
        <v>0</v>
      </c>
      <c r="M6" s="71">
        <f>SUMIFS('CHIRP Payment Calc'!AU:AU,'CHIRP Payment Calc'!H:H,A6)</f>
        <v>0</v>
      </c>
      <c r="N6" s="71">
        <f>SUMIFS('CHIRP Payment Calc'!W:W,'CHIRP Payment Calc'!H:H,A6)</f>
        <v>0</v>
      </c>
      <c r="O6" s="71">
        <f>SUMIFS('CHIRP Payment Calc'!AF:AF,'CHIRP Payment Calc'!H:H,A6)</f>
        <v>0</v>
      </c>
      <c r="P6" s="127">
        <f t="shared" si="5"/>
        <v>0</v>
      </c>
      <c r="Q6" s="71">
        <f t="shared" si="6"/>
        <v>0</v>
      </c>
      <c r="R6" s="132">
        <f t="shared" si="7"/>
        <v>0</v>
      </c>
    </row>
    <row r="7" spans="1:18">
      <c r="A7" s="24" t="s">
        <v>3058</v>
      </c>
      <c r="B7" s="109" t="s">
        <v>2917</v>
      </c>
      <c r="C7" s="109" t="s">
        <v>310</v>
      </c>
      <c r="D7" s="71">
        <f>SUMIFS('CHIRP Payment Calc'!AZ:AZ,'CHIRP Payment Calc'!H:H,A7)</f>
        <v>59411.68896066882</v>
      </c>
      <c r="E7" s="71">
        <f>SUMIFS('CHIRP Payment Calc'!AT:AT,'CHIRP Payment Calc'!H:H,A7)-SUMIFS('CHIRP Payment Calc'!BG:BG,'CHIRP Payment Calc'!H:H,A7)</f>
        <v>107047.83</v>
      </c>
      <c r="F7" s="71">
        <f>SUMIFS('CHIRP Payment Calc'!BG:BG,'CHIRP Payment Calc'!H:H,A7)</f>
        <v>0</v>
      </c>
      <c r="G7" s="71">
        <f>SUMIFS('CHIRP Payment Calc'!V:V,'CHIRP Payment Calc'!H:H,A7)</f>
        <v>0</v>
      </c>
      <c r="H7" s="71">
        <f>SUMIFS('CHIRP Payment Calc'!AE:AE,'CHIRP Payment Calc'!H:H,A7)</f>
        <v>0</v>
      </c>
      <c r="I7" s="127">
        <f t="shared" si="2"/>
        <v>1.801797455562437</v>
      </c>
      <c r="J7" s="71">
        <f t="shared" si="3"/>
        <v>0</v>
      </c>
      <c r="K7" s="127">
        <f t="shared" si="4"/>
        <v>0</v>
      </c>
      <c r="L7" s="71">
        <f>SUMIFS('CHIRP Payment Calc'!BA:BA,'CHIRP Payment Calc'!H:H,A7)</f>
        <v>0</v>
      </c>
      <c r="M7" s="71">
        <f>SUMIFS('CHIRP Payment Calc'!AU:AU,'CHIRP Payment Calc'!H:H,A7)</f>
        <v>0</v>
      </c>
      <c r="N7" s="71">
        <f>SUMIFS('CHIRP Payment Calc'!W:W,'CHIRP Payment Calc'!H:H,A7)</f>
        <v>0</v>
      </c>
      <c r="O7" s="71">
        <f>SUMIFS('CHIRP Payment Calc'!AF:AF,'CHIRP Payment Calc'!H:H,A7)</f>
        <v>0</v>
      </c>
      <c r="P7" s="127">
        <f t="shared" si="5"/>
        <v>0</v>
      </c>
      <c r="Q7" s="71">
        <f t="shared" si="6"/>
        <v>0</v>
      </c>
      <c r="R7" s="132">
        <f t="shared" si="7"/>
        <v>0</v>
      </c>
    </row>
    <row r="8" spans="1:18">
      <c r="A8" s="24" t="s">
        <v>3059</v>
      </c>
      <c r="B8" s="109" t="s">
        <v>2915</v>
      </c>
      <c r="C8" s="109" t="s">
        <v>310</v>
      </c>
      <c r="D8" s="71">
        <f>SUMIFS('CHIRP Payment Calc'!AZ:AZ,'CHIRP Payment Calc'!H:H,A8)</f>
        <v>0</v>
      </c>
      <c r="E8" s="71">
        <f>SUMIFS('CHIRP Payment Calc'!AT:AT,'CHIRP Payment Calc'!H:H,A8)-SUMIFS('CHIRP Payment Calc'!BG:BG,'CHIRP Payment Calc'!H:H,A8)</f>
        <v>0</v>
      </c>
      <c r="F8" s="71">
        <f>SUMIFS('CHIRP Payment Calc'!BG:BG,'CHIRP Payment Calc'!H:H,A8)</f>
        <v>0</v>
      </c>
      <c r="G8" s="71">
        <f>SUMIFS('CHIRP Payment Calc'!V:V,'CHIRP Payment Calc'!H:H,A8)</f>
        <v>0</v>
      </c>
      <c r="H8" s="71">
        <f>SUMIFS('CHIRP Payment Calc'!AE:AE,'CHIRP Payment Calc'!H:H,A8)</f>
        <v>0</v>
      </c>
      <c r="I8" s="127">
        <f t="shared" si="2"/>
        <v>0</v>
      </c>
      <c r="J8" s="71">
        <f t="shared" si="3"/>
        <v>0</v>
      </c>
      <c r="K8" s="127">
        <f t="shared" si="4"/>
        <v>0</v>
      </c>
      <c r="L8" s="71">
        <f>SUMIFS('CHIRP Payment Calc'!BA:BA,'CHIRP Payment Calc'!H:H,A8)</f>
        <v>0</v>
      </c>
      <c r="M8" s="71">
        <f>SUMIFS('CHIRP Payment Calc'!AU:AU,'CHIRP Payment Calc'!H:H,A8)</f>
        <v>0</v>
      </c>
      <c r="N8" s="71">
        <f>SUMIFS('CHIRP Payment Calc'!W:W,'CHIRP Payment Calc'!H:H,A8)</f>
        <v>0</v>
      </c>
      <c r="O8" s="71">
        <f>SUMIFS('CHIRP Payment Calc'!AF:AF,'CHIRP Payment Calc'!H:H,A8)</f>
        <v>0</v>
      </c>
      <c r="P8" s="127">
        <f t="shared" si="5"/>
        <v>0</v>
      </c>
      <c r="Q8" s="71">
        <f t="shared" si="6"/>
        <v>0</v>
      </c>
      <c r="R8" s="132">
        <f t="shared" si="7"/>
        <v>0</v>
      </c>
    </row>
    <row r="9" spans="1:18">
      <c r="A9" s="24" t="s">
        <v>3053</v>
      </c>
      <c r="B9" s="109" t="s">
        <v>2915</v>
      </c>
      <c r="C9" s="109" t="s">
        <v>1530</v>
      </c>
      <c r="D9" s="71">
        <f>SUMIFS('CHIRP Payment Calc'!AZ:AZ,'CHIRP Payment Calc'!H:H,A9)</f>
        <v>467854.0342768578</v>
      </c>
      <c r="E9" s="71">
        <f>SUMIFS('CHIRP Payment Calc'!AT:AT,'CHIRP Payment Calc'!H:H,A9)-SUMIFS('CHIRP Payment Calc'!BG:BG,'CHIRP Payment Calc'!H:H,A9)</f>
        <v>263580.24</v>
      </c>
      <c r="F9" s="71">
        <f>SUMIFS('CHIRP Payment Calc'!BG:BG,'CHIRP Payment Calc'!H:H,A9)</f>
        <v>0</v>
      </c>
      <c r="G9" s="71">
        <f>SUMIFS('CHIRP Payment Calc'!V:V,'CHIRP Payment Calc'!H:H,A9)</f>
        <v>256157.19829426205</v>
      </c>
      <c r="H9" s="71">
        <f>SUMIFS('CHIRP Payment Calc'!AE:AE,'CHIRP Payment Calc'!H:H,A9)</f>
        <v>0</v>
      </c>
      <c r="I9" s="127">
        <f t="shared" si="2"/>
        <v>1.1108965622100453</v>
      </c>
      <c r="J9" s="71">
        <f t="shared" si="3"/>
        <v>0</v>
      </c>
      <c r="K9" s="127">
        <f t="shared" si="4"/>
        <v>0</v>
      </c>
      <c r="L9" s="71">
        <f>SUMIFS('CHIRP Payment Calc'!BA:BA,'CHIRP Payment Calc'!H:H,A9)</f>
        <v>0</v>
      </c>
      <c r="M9" s="71">
        <f>SUMIFS('CHIRP Payment Calc'!AU:AU,'CHIRP Payment Calc'!H:H,A9)</f>
        <v>0</v>
      </c>
      <c r="N9" s="71">
        <f>SUMIFS('CHIRP Payment Calc'!W:W,'CHIRP Payment Calc'!H:H,A9)</f>
        <v>0</v>
      </c>
      <c r="O9" s="71">
        <f>SUMIFS('CHIRP Payment Calc'!AF:AF,'CHIRP Payment Calc'!H:H,A9)</f>
        <v>0</v>
      </c>
      <c r="P9" s="127">
        <f t="shared" si="5"/>
        <v>0</v>
      </c>
      <c r="Q9" s="71">
        <f t="shared" si="6"/>
        <v>0</v>
      </c>
      <c r="R9" s="132">
        <f t="shared" si="7"/>
        <v>0</v>
      </c>
    </row>
    <row r="10" spans="1:18">
      <c r="A10" s="24" t="s">
        <v>3054</v>
      </c>
      <c r="B10" s="109" t="s">
        <v>2917</v>
      </c>
      <c r="C10" s="109" t="s">
        <v>487</v>
      </c>
      <c r="D10" s="71">
        <f>SUMIFS('CHIRP Payment Calc'!AZ:AZ,'CHIRP Payment Calc'!H:H,A10)</f>
        <v>143704.49353050988</v>
      </c>
      <c r="E10" s="71">
        <f>SUMIFS('CHIRP Payment Calc'!AT:AT,'CHIRP Payment Calc'!H:H,A10)-SUMIFS('CHIRP Payment Calc'!BG:BG,'CHIRP Payment Calc'!H:H,A10)</f>
        <v>169955.15</v>
      </c>
      <c r="F10" s="71">
        <f>SUMIFS('CHIRP Payment Calc'!BG:BG,'CHIRP Payment Calc'!H:H,A10)</f>
        <v>0</v>
      </c>
      <c r="G10" s="71">
        <f>SUMIFS('CHIRP Payment Calc'!V:V,'CHIRP Payment Calc'!H:H,A10)</f>
        <v>209976.45293410233</v>
      </c>
      <c r="H10" s="71">
        <f>SUMIFS('CHIRP Payment Calc'!AE:AE,'CHIRP Payment Calc'!H:H,A10)</f>
        <v>0</v>
      </c>
      <c r="I10" s="127">
        <f t="shared" si="2"/>
        <v>2.6438394068271713</v>
      </c>
      <c r="J10" s="71">
        <f t="shared" si="3"/>
        <v>0</v>
      </c>
      <c r="K10" s="127">
        <f t="shared" si="4"/>
        <v>0</v>
      </c>
      <c r="L10" s="71">
        <f>SUMIFS('CHIRP Payment Calc'!BA:BA,'CHIRP Payment Calc'!H:H,A10)</f>
        <v>0</v>
      </c>
      <c r="M10" s="71">
        <f>SUMIFS('CHIRP Payment Calc'!AU:AU,'CHIRP Payment Calc'!H:H,A10)</f>
        <v>0</v>
      </c>
      <c r="N10" s="71">
        <f>SUMIFS('CHIRP Payment Calc'!W:W,'CHIRP Payment Calc'!H:H,A10)</f>
        <v>0</v>
      </c>
      <c r="O10" s="71">
        <f>SUMIFS('CHIRP Payment Calc'!AF:AF,'CHIRP Payment Calc'!H:H,A10)</f>
        <v>0</v>
      </c>
      <c r="P10" s="127">
        <f t="shared" si="5"/>
        <v>0</v>
      </c>
      <c r="Q10" s="71">
        <f t="shared" si="6"/>
        <v>0</v>
      </c>
      <c r="R10" s="132">
        <f t="shared" si="7"/>
        <v>0</v>
      </c>
    </row>
    <row r="11" spans="1:18">
      <c r="A11" s="24" t="s">
        <v>3036</v>
      </c>
      <c r="B11" s="109" t="s">
        <v>2917</v>
      </c>
      <c r="C11" s="109" t="s">
        <v>227</v>
      </c>
      <c r="D11" s="71">
        <f>SUMIFS('CHIRP Payment Calc'!AZ:AZ,'CHIRP Payment Calc'!H:H,A11)</f>
        <v>598215.94323501515</v>
      </c>
      <c r="E11" s="71">
        <f>SUMIFS('CHIRP Payment Calc'!AT:AT,'CHIRP Payment Calc'!H:H,A11)-SUMIFS('CHIRP Payment Calc'!BG:BG,'CHIRP Payment Calc'!H:H,A11)</f>
        <v>534107.07000000007</v>
      </c>
      <c r="F11" s="71">
        <f>SUMIFS('CHIRP Payment Calc'!BG:BG,'CHIRP Payment Calc'!H:H,A11)</f>
        <v>0</v>
      </c>
      <c r="G11" s="71">
        <f>SUMIFS('CHIRP Payment Calc'!V:V,'CHIRP Payment Calc'!H:H,A11)</f>
        <v>283615.964790478</v>
      </c>
      <c r="H11" s="71">
        <f>SUMIFS('CHIRP Payment Calc'!AE:AE,'CHIRP Payment Calc'!H:H,A11)</f>
        <v>0</v>
      </c>
      <c r="I11" s="127">
        <f t="shared" si="2"/>
        <v>1.3669362109749512</v>
      </c>
      <c r="J11" s="71">
        <f t="shared" si="3"/>
        <v>0</v>
      </c>
      <c r="K11" s="127">
        <f t="shared" si="4"/>
        <v>0</v>
      </c>
      <c r="L11" s="71">
        <f>SUMIFS('CHIRP Payment Calc'!BA:BA,'CHIRP Payment Calc'!H:H,A11)</f>
        <v>0</v>
      </c>
      <c r="M11" s="71">
        <f>SUMIFS('CHIRP Payment Calc'!AU:AU,'CHIRP Payment Calc'!H:H,A11)</f>
        <v>0</v>
      </c>
      <c r="N11" s="71">
        <f>SUMIFS('CHIRP Payment Calc'!W:W,'CHIRP Payment Calc'!H:H,A11)</f>
        <v>0</v>
      </c>
      <c r="O11" s="71">
        <f>SUMIFS('CHIRP Payment Calc'!AF:AF,'CHIRP Payment Calc'!H:H,A11)</f>
        <v>0</v>
      </c>
      <c r="P11" s="127">
        <f t="shared" si="5"/>
        <v>0</v>
      </c>
      <c r="Q11" s="71">
        <f t="shared" si="6"/>
        <v>0</v>
      </c>
      <c r="R11" s="132">
        <f t="shared" si="7"/>
        <v>0</v>
      </c>
    </row>
    <row r="12" spans="1:18">
      <c r="A12" s="24" t="s">
        <v>3035</v>
      </c>
      <c r="B12" s="109" t="s">
        <v>2915</v>
      </c>
      <c r="C12" s="109" t="s">
        <v>487</v>
      </c>
      <c r="D12" s="71">
        <f>SUMIFS('CHIRP Payment Calc'!AZ:AZ,'CHIRP Payment Calc'!H:H,A12)</f>
        <v>11266165.305193886</v>
      </c>
      <c r="E12" s="71">
        <f>SUMIFS('CHIRP Payment Calc'!AT:AT,'CHIRP Payment Calc'!H:H,A12)-SUMIFS('CHIRP Payment Calc'!BG:BG,'CHIRP Payment Calc'!H:H,A12)</f>
        <v>7672160.0999999996</v>
      </c>
      <c r="F12" s="71">
        <f>SUMIFS('CHIRP Payment Calc'!BG:BG,'CHIRP Payment Calc'!H:H,A12)</f>
        <v>0</v>
      </c>
      <c r="G12" s="71">
        <f>SUMIFS('CHIRP Payment Calc'!V:V,'CHIRP Payment Calc'!H:H,A12)</f>
        <v>2557901.8375049662</v>
      </c>
      <c r="H12" s="71">
        <f>SUMIFS('CHIRP Payment Calc'!AE:AE,'CHIRP Payment Calc'!H:H,A12)</f>
        <v>1558658.5654784979</v>
      </c>
      <c r="I12" s="127">
        <f t="shared" si="2"/>
        <v>1.0463827028659585</v>
      </c>
      <c r="J12" s="71">
        <f t="shared" si="3"/>
        <v>0</v>
      </c>
      <c r="K12" s="127">
        <f t="shared" si="4"/>
        <v>0</v>
      </c>
      <c r="L12" s="71">
        <f>SUMIFS('CHIRP Payment Calc'!BA:BA,'CHIRP Payment Calc'!H:H,A12)</f>
        <v>0</v>
      </c>
      <c r="M12" s="71">
        <f>SUMIFS('CHIRP Payment Calc'!AU:AU,'CHIRP Payment Calc'!H:H,A12)</f>
        <v>0</v>
      </c>
      <c r="N12" s="71">
        <f>SUMIFS('CHIRP Payment Calc'!W:W,'CHIRP Payment Calc'!H:H,A12)</f>
        <v>0</v>
      </c>
      <c r="O12" s="71">
        <f>SUMIFS('CHIRP Payment Calc'!AF:AF,'CHIRP Payment Calc'!H:H,A12)</f>
        <v>0</v>
      </c>
      <c r="P12" s="127">
        <f t="shared" si="5"/>
        <v>0</v>
      </c>
      <c r="Q12" s="71">
        <f t="shared" si="6"/>
        <v>0</v>
      </c>
      <c r="R12" s="132">
        <f t="shared" si="7"/>
        <v>0</v>
      </c>
    </row>
    <row r="13" spans="1:18">
      <c r="A13" s="24" t="s">
        <v>3051</v>
      </c>
      <c r="B13" s="109" t="s">
        <v>2917</v>
      </c>
      <c r="C13" s="109" t="s">
        <v>1202</v>
      </c>
      <c r="D13" s="71">
        <f>SUMIFS('CHIRP Payment Calc'!AZ:AZ,'CHIRP Payment Calc'!H:H,A13)</f>
        <v>0</v>
      </c>
      <c r="E13" s="71">
        <f>SUMIFS('CHIRP Payment Calc'!AT:AT,'CHIRP Payment Calc'!H:H,A13)-SUMIFS('CHIRP Payment Calc'!BG:BG,'CHIRP Payment Calc'!H:H,A13)</f>
        <v>111788.74</v>
      </c>
      <c r="F13" s="71">
        <f>SUMIFS('CHIRP Payment Calc'!BG:BG,'CHIRP Payment Calc'!H:H,A13)</f>
        <v>0</v>
      </c>
      <c r="G13" s="71">
        <f>SUMIFS('CHIRP Payment Calc'!V:V,'CHIRP Payment Calc'!H:H,A13)</f>
        <v>133429.10317767449</v>
      </c>
      <c r="H13" s="71">
        <f>SUMIFS('CHIRP Payment Calc'!AE:AE,'CHIRP Payment Calc'!H:H,A13)</f>
        <v>0</v>
      </c>
      <c r="I13" s="127">
        <f t="shared" si="2"/>
        <v>0</v>
      </c>
      <c r="J13" s="71">
        <f t="shared" si="3"/>
        <v>0</v>
      </c>
      <c r="K13" s="127">
        <f t="shared" si="4"/>
        <v>0</v>
      </c>
      <c r="L13" s="71">
        <f>SUMIFS('CHIRP Payment Calc'!BA:BA,'CHIRP Payment Calc'!H:H,A13)</f>
        <v>0</v>
      </c>
      <c r="M13" s="71">
        <f>SUMIFS('CHIRP Payment Calc'!AU:AU,'CHIRP Payment Calc'!H:H,A13)</f>
        <v>0</v>
      </c>
      <c r="N13" s="71">
        <f>SUMIFS('CHIRP Payment Calc'!W:W,'CHIRP Payment Calc'!H:H,A13)</f>
        <v>0</v>
      </c>
      <c r="O13" s="71">
        <f>SUMIFS('CHIRP Payment Calc'!AF:AF,'CHIRP Payment Calc'!H:H,A13)</f>
        <v>0</v>
      </c>
      <c r="P13" s="127">
        <f t="shared" si="5"/>
        <v>0</v>
      </c>
      <c r="Q13" s="71">
        <f t="shared" si="6"/>
        <v>0</v>
      </c>
      <c r="R13" s="132">
        <f t="shared" si="7"/>
        <v>0</v>
      </c>
    </row>
    <row r="14" spans="1:18">
      <c r="A14" s="24" t="s">
        <v>3037</v>
      </c>
      <c r="B14" s="109" t="s">
        <v>2768</v>
      </c>
      <c r="C14" s="109" t="s">
        <v>300</v>
      </c>
      <c r="D14" s="71">
        <f>SUMIFS('CHIRP Payment Calc'!AZ:AZ,'CHIRP Payment Calc'!H:H,A14)</f>
        <v>2462015.6231129216</v>
      </c>
      <c r="E14" s="71">
        <f>SUMIFS('CHIRP Payment Calc'!AT:AT,'CHIRP Payment Calc'!H:H,A14)-SUMIFS('CHIRP Payment Calc'!BG:BG,'CHIRP Payment Calc'!H:H,A14)</f>
        <v>3463118.0702862213</v>
      </c>
      <c r="F14" s="71">
        <f>SUMIFS('CHIRP Payment Calc'!BG:BG,'CHIRP Payment Calc'!H:H,A14)</f>
        <v>0</v>
      </c>
      <c r="G14" s="71">
        <f>SUMIFS('CHIRP Payment Calc'!V:V,'CHIRP Payment Calc'!H:H,A14)</f>
        <v>0</v>
      </c>
      <c r="H14" s="71">
        <f>SUMIFS('CHIRP Payment Calc'!AE:AE,'CHIRP Payment Calc'!H:H,A14)</f>
        <v>0</v>
      </c>
      <c r="I14" s="127">
        <f t="shared" si="2"/>
        <v>1.4066190473265667</v>
      </c>
      <c r="J14" s="71">
        <f t="shared" si="3"/>
        <v>0</v>
      </c>
      <c r="K14" s="127">
        <f t="shared" si="4"/>
        <v>0</v>
      </c>
      <c r="L14" s="71">
        <f>SUMIFS('CHIRP Payment Calc'!BA:BA,'CHIRP Payment Calc'!H:H,A14)</f>
        <v>5552956.2988622123</v>
      </c>
      <c r="M14" s="71">
        <f>SUMIFS('CHIRP Payment Calc'!AU:AU,'CHIRP Payment Calc'!H:H,A14)</f>
        <v>1968760.3213639823</v>
      </c>
      <c r="N14" s="71">
        <f>SUMIFS('CHIRP Payment Calc'!W:W,'CHIRP Payment Calc'!H:H,A14)</f>
        <v>3059326.7409023847</v>
      </c>
      <c r="O14" s="71">
        <f>SUMIFS('CHIRP Payment Calc'!AF:AF,'CHIRP Payment Calc'!H:H,A14)</f>
        <v>781317.61233948206</v>
      </c>
      <c r="P14" s="127">
        <f t="shared" si="5"/>
        <v>1.0461823147781988</v>
      </c>
      <c r="Q14" s="71">
        <f t="shared" si="6"/>
        <v>0</v>
      </c>
      <c r="R14" s="132">
        <f t="shared" si="7"/>
        <v>0</v>
      </c>
    </row>
    <row r="15" spans="1:18">
      <c r="A15" s="24" t="s">
        <v>3052</v>
      </c>
      <c r="B15" s="109" t="s">
        <v>2917</v>
      </c>
      <c r="C15" s="109" t="s">
        <v>223</v>
      </c>
      <c r="D15" s="71">
        <f>SUMIFS('CHIRP Payment Calc'!AZ:AZ,'CHIRP Payment Calc'!H:H,A15)</f>
        <v>300825.24323974707</v>
      </c>
      <c r="E15" s="71">
        <f>SUMIFS('CHIRP Payment Calc'!AT:AT,'CHIRP Payment Calc'!H:H,A15)-SUMIFS('CHIRP Payment Calc'!BG:BG,'CHIRP Payment Calc'!H:H,A15)</f>
        <v>193398.15</v>
      </c>
      <c r="F15" s="71">
        <f>SUMIFS('CHIRP Payment Calc'!BG:BG,'CHIRP Payment Calc'!H:H,A15)</f>
        <v>0</v>
      </c>
      <c r="G15" s="71">
        <f>SUMIFS('CHIRP Payment Calc'!V:V,'CHIRP Payment Calc'!H:H,A15)</f>
        <v>268481.7174380669</v>
      </c>
      <c r="H15" s="71">
        <f>SUMIFS('CHIRP Payment Calc'!AE:AE,'CHIRP Payment Calc'!H:H,A15)</f>
        <v>0</v>
      </c>
      <c r="I15" s="127">
        <f t="shared" si="2"/>
        <v>1.5353760291650955</v>
      </c>
      <c r="J15" s="71">
        <f t="shared" si="3"/>
        <v>0</v>
      </c>
      <c r="K15" s="127">
        <f t="shared" si="4"/>
        <v>0</v>
      </c>
      <c r="L15" s="71">
        <f>SUMIFS('CHIRP Payment Calc'!BA:BA,'CHIRP Payment Calc'!H:H,A15)</f>
        <v>0</v>
      </c>
      <c r="M15" s="71">
        <f>SUMIFS('CHIRP Payment Calc'!AU:AU,'CHIRP Payment Calc'!H:H,A15)</f>
        <v>0</v>
      </c>
      <c r="N15" s="71">
        <f>SUMIFS('CHIRP Payment Calc'!W:W,'CHIRP Payment Calc'!H:H,A15)</f>
        <v>0</v>
      </c>
      <c r="O15" s="71">
        <f>SUMIFS('CHIRP Payment Calc'!AF:AF,'CHIRP Payment Calc'!H:H,A15)</f>
        <v>0</v>
      </c>
      <c r="P15" s="127">
        <f t="shared" si="5"/>
        <v>0</v>
      </c>
      <c r="Q15" s="71">
        <f t="shared" si="6"/>
        <v>0</v>
      </c>
      <c r="R15" s="132">
        <f t="shared" si="7"/>
        <v>0</v>
      </c>
    </row>
    <row r="16" spans="1:18">
      <c r="A16" s="24" t="s">
        <v>3044</v>
      </c>
      <c r="B16" s="109" t="s">
        <v>2915</v>
      </c>
      <c r="C16" s="109" t="s">
        <v>1202</v>
      </c>
      <c r="D16" s="71">
        <f>SUMIFS('CHIRP Payment Calc'!AZ:AZ,'CHIRP Payment Calc'!H:H,A16)</f>
        <v>6734699.9136716109</v>
      </c>
      <c r="E16" s="71">
        <f>SUMIFS('CHIRP Payment Calc'!AT:AT,'CHIRP Payment Calc'!H:H,A16)-SUMIFS('CHIRP Payment Calc'!BG:BG,'CHIRP Payment Calc'!H:H,A16)</f>
        <v>3998449.66</v>
      </c>
      <c r="F16" s="71">
        <f>SUMIFS('CHIRP Payment Calc'!BG:BG,'CHIRP Payment Calc'!H:H,A16)</f>
        <v>0</v>
      </c>
      <c r="G16" s="71">
        <f>SUMIFS('CHIRP Payment Calc'!V:V,'CHIRP Payment Calc'!H:H,A16)</f>
        <v>2059739.7020001574</v>
      </c>
      <c r="H16" s="71">
        <f>SUMIFS('CHIRP Payment Calc'!AE:AE,'CHIRP Payment Calc'!H:H,A16)</f>
        <v>598194.92446729646</v>
      </c>
      <c r="I16" s="127">
        <f t="shared" si="2"/>
        <v>0.9883713263830548</v>
      </c>
      <c r="J16" s="71">
        <f t="shared" si="3"/>
        <v>3040.560304292012</v>
      </c>
      <c r="K16" s="127">
        <f t="shared" si="4"/>
        <v>5.0828921810055251E-3</v>
      </c>
      <c r="L16" s="71">
        <f>SUMIFS('CHIRP Payment Calc'!BA:BA,'CHIRP Payment Calc'!H:H,A16)</f>
        <v>0</v>
      </c>
      <c r="M16" s="71">
        <f>SUMIFS('CHIRP Payment Calc'!AU:AU,'CHIRP Payment Calc'!H:H,A16)</f>
        <v>0</v>
      </c>
      <c r="N16" s="71">
        <f>SUMIFS('CHIRP Payment Calc'!W:W,'CHIRP Payment Calc'!H:H,A16)</f>
        <v>0</v>
      </c>
      <c r="O16" s="71">
        <f>SUMIFS('CHIRP Payment Calc'!AF:AF,'CHIRP Payment Calc'!H:H,A16)</f>
        <v>0</v>
      </c>
      <c r="P16" s="127">
        <f t="shared" si="5"/>
        <v>0</v>
      </c>
      <c r="Q16" s="71">
        <f t="shared" si="6"/>
        <v>0</v>
      </c>
      <c r="R16" s="132">
        <f t="shared" si="7"/>
        <v>0</v>
      </c>
    </row>
    <row r="17" spans="1:18">
      <c r="A17" s="24" t="s">
        <v>3049</v>
      </c>
      <c r="B17" s="109" t="s">
        <v>2915</v>
      </c>
      <c r="C17" s="109" t="s">
        <v>227</v>
      </c>
      <c r="D17" s="71">
        <f>SUMIFS('CHIRP Payment Calc'!AZ:AZ,'CHIRP Payment Calc'!H:H,A17)</f>
        <v>5442497.1933264155</v>
      </c>
      <c r="E17" s="71">
        <f>SUMIFS('CHIRP Payment Calc'!AT:AT,'CHIRP Payment Calc'!H:H,A17)-SUMIFS('CHIRP Payment Calc'!BG:BG,'CHIRP Payment Calc'!H:H,A17)</f>
        <v>3418521.13</v>
      </c>
      <c r="F17" s="71">
        <f>SUMIFS('CHIRP Payment Calc'!BG:BG,'CHIRP Payment Calc'!H:H,A17)</f>
        <v>0</v>
      </c>
      <c r="G17" s="71">
        <f>SUMIFS('CHIRP Payment Calc'!V:V,'CHIRP Payment Calc'!H:H,A17)</f>
        <v>1580595.9571417901</v>
      </c>
      <c r="H17" s="71">
        <f>SUMIFS('CHIRP Payment Calc'!AE:AE,'CHIRP Payment Calc'!H:H,A17)</f>
        <v>449898.17162305367</v>
      </c>
      <c r="I17" s="127">
        <f t="shared" si="2"/>
        <v>1.0011976240330303</v>
      </c>
      <c r="J17" s="71">
        <f t="shared" si="3"/>
        <v>0</v>
      </c>
      <c r="K17" s="127">
        <f t="shared" si="4"/>
        <v>0</v>
      </c>
      <c r="L17" s="71">
        <f>SUMIFS('CHIRP Payment Calc'!BA:BA,'CHIRP Payment Calc'!H:H,A17)</f>
        <v>0</v>
      </c>
      <c r="M17" s="71">
        <f>SUMIFS('CHIRP Payment Calc'!AU:AU,'CHIRP Payment Calc'!H:H,A17)</f>
        <v>0</v>
      </c>
      <c r="N17" s="71">
        <f>SUMIFS('CHIRP Payment Calc'!W:W,'CHIRP Payment Calc'!H:H,A17)</f>
        <v>0</v>
      </c>
      <c r="O17" s="71">
        <f>SUMIFS('CHIRP Payment Calc'!AF:AF,'CHIRP Payment Calc'!H:H,A17)</f>
        <v>0</v>
      </c>
      <c r="P17" s="127">
        <f t="shared" si="5"/>
        <v>0</v>
      </c>
      <c r="Q17" s="71">
        <f t="shared" si="6"/>
        <v>0</v>
      </c>
      <c r="R17" s="132">
        <f t="shared" si="7"/>
        <v>0</v>
      </c>
    </row>
    <row r="18" spans="1:18">
      <c r="A18" s="24" t="s">
        <v>3031</v>
      </c>
      <c r="B18" s="109" t="s">
        <v>2915</v>
      </c>
      <c r="C18" s="109" t="s">
        <v>1366</v>
      </c>
      <c r="D18" s="71">
        <f>SUMIFS('CHIRP Payment Calc'!AZ:AZ,'CHIRP Payment Calc'!H:H,A18)</f>
        <v>5035061.3360231612</v>
      </c>
      <c r="E18" s="71">
        <f>SUMIFS('CHIRP Payment Calc'!AT:AT,'CHIRP Payment Calc'!H:H,A18)-SUMIFS('CHIRP Payment Calc'!BG:BG,'CHIRP Payment Calc'!H:H,A18)</f>
        <v>2851860.7199999997</v>
      </c>
      <c r="F18" s="71">
        <f>SUMIFS('CHIRP Payment Calc'!BG:BG,'CHIRP Payment Calc'!H:H,A18)</f>
        <v>0</v>
      </c>
      <c r="G18" s="71">
        <f>SUMIFS('CHIRP Payment Calc'!V:V,'CHIRP Payment Calc'!H:H,A18)</f>
        <v>1983532.4150712378</v>
      </c>
      <c r="H18" s="71">
        <f>SUMIFS('CHIRP Payment Calc'!AE:AE,'CHIRP Payment Calc'!H:H,A18)</f>
        <v>291486.78174673131</v>
      </c>
      <c r="I18" s="127">
        <f t="shared" si="2"/>
        <v>1.0182358415652049</v>
      </c>
      <c r="J18" s="71">
        <f t="shared" si="3"/>
        <v>0</v>
      </c>
      <c r="K18" s="127">
        <f t="shared" si="4"/>
        <v>0</v>
      </c>
      <c r="L18" s="71">
        <f>SUMIFS('CHIRP Payment Calc'!BA:BA,'CHIRP Payment Calc'!H:H,A18)</f>
        <v>0</v>
      </c>
      <c r="M18" s="71">
        <f>SUMIFS('CHIRP Payment Calc'!AU:AU,'CHIRP Payment Calc'!H:H,A18)</f>
        <v>0</v>
      </c>
      <c r="N18" s="71">
        <f>SUMIFS('CHIRP Payment Calc'!W:W,'CHIRP Payment Calc'!H:H,A18)</f>
        <v>0</v>
      </c>
      <c r="O18" s="71">
        <f>SUMIFS('CHIRP Payment Calc'!AF:AF,'CHIRP Payment Calc'!H:H,A18)</f>
        <v>0</v>
      </c>
      <c r="P18" s="127">
        <f t="shared" si="5"/>
        <v>0</v>
      </c>
      <c r="Q18" s="71">
        <f t="shared" si="6"/>
        <v>0</v>
      </c>
      <c r="R18" s="132">
        <f t="shared" si="7"/>
        <v>0</v>
      </c>
    </row>
    <row r="19" spans="1:18">
      <c r="A19" s="24" t="s">
        <v>3029</v>
      </c>
      <c r="B19" s="109" t="s">
        <v>2768</v>
      </c>
      <c r="C19" s="109" t="s">
        <v>227</v>
      </c>
      <c r="D19" s="71">
        <f>SUMIFS('CHIRP Payment Calc'!AZ:AZ,'CHIRP Payment Calc'!H:H,A19)</f>
        <v>29065616.553884868</v>
      </c>
      <c r="E19" s="71">
        <f>SUMIFS('CHIRP Payment Calc'!AT:AT,'CHIRP Payment Calc'!H:H,A19)-SUMIFS('CHIRP Payment Calc'!BG:BG,'CHIRP Payment Calc'!H:H,A19)</f>
        <v>31769624.511793852</v>
      </c>
      <c r="F19" s="71">
        <f>SUMIFS('CHIRP Payment Calc'!BG:BG,'CHIRP Payment Calc'!H:H,A19)</f>
        <v>10751710.640000001</v>
      </c>
      <c r="G19" s="71">
        <f>SUMIFS('CHIRP Payment Calc'!V:V,'CHIRP Payment Calc'!H:H,A19)</f>
        <v>0</v>
      </c>
      <c r="H19" s="71">
        <f>SUMIFS('CHIRP Payment Calc'!AE:AE,'CHIRP Payment Calc'!H:H,A19)</f>
        <v>2685106.1367097567</v>
      </c>
      <c r="I19" s="127">
        <f t="shared" si="2"/>
        <v>1.5553236658405369</v>
      </c>
      <c r="J19" s="71">
        <f t="shared" si="3"/>
        <v>0</v>
      </c>
      <c r="K19" s="127">
        <f t="shared" si="4"/>
        <v>0</v>
      </c>
      <c r="L19" s="71">
        <f>SUMIFS('CHIRP Payment Calc'!BA:BA,'CHIRP Payment Calc'!H:H,A19)</f>
        <v>47607498.918812774</v>
      </c>
      <c r="M19" s="71">
        <f>SUMIFS('CHIRP Payment Calc'!AU:AU,'CHIRP Payment Calc'!H:H,A19)</f>
        <v>17400758.89360204</v>
      </c>
      <c r="N19" s="71">
        <f>SUMIFS('CHIRP Payment Calc'!W:W,'CHIRP Payment Calc'!H:H,A19)</f>
        <v>12082018.760263866</v>
      </c>
      <c r="O19" s="71">
        <f>SUMIFS('CHIRP Payment Calc'!AF:AF,'CHIRP Payment Calc'!H:H,A19)</f>
        <v>13489087.571189396</v>
      </c>
      <c r="P19" s="127">
        <f t="shared" si="5"/>
        <v>0.90262807752907104</v>
      </c>
      <c r="Q19" s="71">
        <f t="shared" si="6"/>
        <v>13363971.373065589</v>
      </c>
      <c r="R19" s="132">
        <f t="shared" si="7"/>
        <v>0.99072463593526994</v>
      </c>
    </row>
    <row r="20" spans="1:18">
      <c r="A20" s="24" t="s">
        <v>3047</v>
      </c>
      <c r="B20" s="109" t="s">
        <v>2915</v>
      </c>
      <c r="C20" s="109" t="s">
        <v>1489</v>
      </c>
      <c r="D20" s="71">
        <f>SUMIFS('CHIRP Payment Calc'!AZ:AZ,'CHIRP Payment Calc'!H:H,A20)</f>
        <v>1776266.8462155852</v>
      </c>
      <c r="E20" s="71">
        <f>SUMIFS('CHIRP Payment Calc'!AT:AT,'CHIRP Payment Calc'!H:H,A20)-SUMIFS('CHIRP Payment Calc'!BG:BG,'CHIRP Payment Calc'!H:H,A20)</f>
        <v>1225556.3999999999</v>
      </c>
      <c r="F20" s="71">
        <f>SUMIFS('CHIRP Payment Calc'!BG:BG,'CHIRP Payment Calc'!H:H,A20)</f>
        <v>0</v>
      </c>
      <c r="G20" s="71">
        <f>SUMIFS('CHIRP Payment Calc'!V:V,'CHIRP Payment Calc'!H:H,A20)</f>
        <v>994337.41740564746</v>
      </c>
      <c r="H20" s="71">
        <f>SUMIFS('CHIRP Payment Calc'!AE:AE,'CHIRP Payment Calc'!H:H,A20)</f>
        <v>0</v>
      </c>
      <c r="I20" s="127">
        <f t="shared" si="2"/>
        <v>1.2497524356406411</v>
      </c>
      <c r="J20" s="71">
        <f t="shared" si="3"/>
        <v>0</v>
      </c>
      <c r="K20" s="127">
        <f t="shared" si="4"/>
        <v>0</v>
      </c>
      <c r="L20" s="71">
        <f>SUMIFS('CHIRP Payment Calc'!BA:BA,'CHIRP Payment Calc'!H:H,A20)</f>
        <v>0</v>
      </c>
      <c r="M20" s="71">
        <f>SUMIFS('CHIRP Payment Calc'!AU:AU,'CHIRP Payment Calc'!H:H,A20)</f>
        <v>0</v>
      </c>
      <c r="N20" s="71">
        <f>SUMIFS('CHIRP Payment Calc'!W:W,'CHIRP Payment Calc'!H:H,A20)</f>
        <v>0</v>
      </c>
      <c r="O20" s="71">
        <f>SUMIFS('CHIRP Payment Calc'!AF:AF,'CHIRP Payment Calc'!H:H,A20)</f>
        <v>0</v>
      </c>
      <c r="P20" s="127">
        <f t="shared" si="5"/>
        <v>0</v>
      </c>
      <c r="Q20" s="71">
        <f t="shared" si="6"/>
        <v>0</v>
      </c>
      <c r="R20" s="132">
        <f t="shared" si="7"/>
        <v>0</v>
      </c>
    </row>
    <row r="21" spans="1:18">
      <c r="A21" s="24" t="s">
        <v>3043</v>
      </c>
      <c r="B21" s="109" t="s">
        <v>2768</v>
      </c>
      <c r="C21" s="109" t="s">
        <v>1530</v>
      </c>
      <c r="D21" s="71">
        <f>SUMIFS('CHIRP Payment Calc'!AZ:AZ,'CHIRP Payment Calc'!H:H,A21)</f>
        <v>8837644.5715149082</v>
      </c>
      <c r="E21" s="71">
        <f>SUMIFS('CHIRP Payment Calc'!AT:AT,'CHIRP Payment Calc'!H:H,A21)-SUMIFS('CHIRP Payment Calc'!BG:BG,'CHIRP Payment Calc'!H:H,A21)</f>
        <v>7875960.5240048198</v>
      </c>
      <c r="F21" s="71">
        <f>SUMIFS('CHIRP Payment Calc'!BG:BG,'CHIRP Payment Calc'!H:H,A21)</f>
        <v>0</v>
      </c>
      <c r="G21" s="71">
        <f>SUMIFS('CHIRP Payment Calc'!V:V,'CHIRP Payment Calc'!H:H,A21)</f>
        <v>2256365.6606103508</v>
      </c>
      <c r="H21" s="71">
        <f>SUMIFS('CHIRP Payment Calc'!AE:AE,'CHIRP Payment Calc'!H:H,A21)</f>
        <v>293560.63269664824</v>
      </c>
      <c r="I21" s="127">
        <f t="shared" si="2"/>
        <v>1.1797132972416724</v>
      </c>
      <c r="J21" s="71">
        <f t="shared" si="3"/>
        <v>0</v>
      </c>
      <c r="K21" s="127">
        <f t="shared" si="4"/>
        <v>0</v>
      </c>
      <c r="L21" s="71">
        <f>SUMIFS('CHIRP Payment Calc'!BA:BA,'CHIRP Payment Calc'!H:H,A21)</f>
        <v>9220653.5441804938</v>
      </c>
      <c r="M21" s="71">
        <f>SUMIFS('CHIRP Payment Calc'!AU:AU,'CHIRP Payment Calc'!H:H,A21)</f>
        <v>4237107.8061556062</v>
      </c>
      <c r="N21" s="71">
        <f>SUMIFS('CHIRP Payment Calc'!W:W,'CHIRP Payment Calc'!H:H,A21)</f>
        <v>3335077.0732270814</v>
      </c>
      <c r="O21" s="71">
        <f>SUMIFS('CHIRP Payment Calc'!AF:AF,'CHIRP Payment Calc'!H:H,A21)</f>
        <v>2065512.0045998367</v>
      </c>
      <c r="P21" s="127">
        <f t="shared" si="5"/>
        <v>1.0452292603559801</v>
      </c>
      <c r="Q21" s="71">
        <f t="shared" si="6"/>
        <v>726403.31037975661</v>
      </c>
      <c r="R21" s="132">
        <f t="shared" si="7"/>
        <v>0.35168196009612968</v>
      </c>
    </row>
    <row r="22" spans="1:18">
      <c r="A22" s="24" t="s">
        <v>3026</v>
      </c>
      <c r="B22" s="109" t="s">
        <v>2916</v>
      </c>
      <c r="C22" s="109" t="s">
        <v>310</v>
      </c>
      <c r="D22" s="71">
        <f>SUMIFS('CHIRP Payment Calc'!AZ:AZ,'CHIRP Payment Calc'!H:H,A22)</f>
        <v>1884666.7943773277</v>
      </c>
      <c r="E22" s="71">
        <f>SUMIFS('CHIRP Payment Calc'!AT:AT,'CHIRP Payment Calc'!H:H,A22)-SUMIFS('CHIRP Payment Calc'!BG:BG,'CHIRP Payment Calc'!H:H,A22)</f>
        <v>1504385.4600000002</v>
      </c>
      <c r="F22" s="71">
        <f>SUMIFS('CHIRP Payment Calc'!BG:BG,'CHIRP Payment Calc'!H:H,A22)</f>
        <v>0</v>
      </c>
      <c r="G22" s="71">
        <f>SUMIFS('CHIRP Payment Calc'!V:V,'CHIRP Payment Calc'!H:H,A22)</f>
        <v>840352.50201396295</v>
      </c>
      <c r="H22" s="71">
        <f>SUMIFS('CHIRP Payment Calc'!AE:AE,'CHIRP Payment Calc'!H:H,A22)</f>
        <v>0</v>
      </c>
      <c r="I22" s="127">
        <f t="shared" si="2"/>
        <v>1.2441127360068112</v>
      </c>
      <c r="J22" s="71">
        <f t="shared" si="3"/>
        <v>0</v>
      </c>
      <c r="K22" s="127">
        <f t="shared" si="4"/>
        <v>0</v>
      </c>
      <c r="L22" s="71">
        <f>SUMIFS('CHIRP Payment Calc'!BA:BA,'CHIRP Payment Calc'!H:H,A22)</f>
        <v>11078297.092028523</v>
      </c>
      <c r="M22" s="71">
        <f>SUMIFS('CHIRP Payment Calc'!AU:AU,'CHIRP Payment Calc'!H:H,A22)</f>
        <v>5361968.9800000004</v>
      </c>
      <c r="N22" s="71">
        <f>SUMIFS('CHIRP Payment Calc'!W:W,'CHIRP Payment Calc'!H:H,A22)</f>
        <v>3630133.6246566176</v>
      </c>
      <c r="O22" s="71">
        <f>SUMIFS('CHIRP Payment Calc'!AF:AF,'CHIRP Payment Calc'!H:H,A22)</f>
        <v>1438354.8324111125</v>
      </c>
      <c r="P22" s="127">
        <f t="shared" si="5"/>
        <v>0.94152172941571044</v>
      </c>
      <c r="Q22" s="71">
        <f t="shared" si="6"/>
        <v>978364.77816905268</v>
      </c>
      <c r="R22" s="132">
        <f t="shared" si="7"/>
        <v>0.68019709471064316</v>
      </c>
    </row>
    <row r="23" spans="1:18">
      <c r="A23" s="24" t="s">
        <v>3038</v>
      </c>
      <c r="B23" s="109" t="s">
        <v>2768</v>
      </c>
      <c r="C23" s="109" t="s">
        <v>1555</v>
      </c>
      <c r="D23" s="71">
        <f>SUMIFS('CHIRP Payment Calc'!AZ:AZ,'CHIRP Payment Calc'!H:H,A23)</f>
        <v>3499417.0430678977</v>
      </c>
      <c r="E23" s="71">
        <f>SUMIFS('CHIRP Payment Calc'!AT:AT,'CHIRP Payment Calc'!H:H,A23)-SUMIFS('CHIRP Payment Calc'!BG:BG,'CHIRP Payment Calc'!H:H,A23)</f>
        <v>3709672.4830197706</v>
      </c>
      <c r="F23" s="71">
        <f>SUMIFS('CHIRP Payment Calc'!BG:BG,'CHIRP Payment Calc'!H:H,A23)</f>
        <v>0</v>
      </c>
      <c r="G23" s="71">
        <f>SUMIFS('CHIRP Payment Calc'!V:V,'CHIRP Payment Calc'!H:H,A23)</f>
        <v>0</v>
      </c>
      <c r="H23" s="71">
        <f>SUMIFS('CHIRP Payment Calc'!AE:AE,'CHIRP Payment Calc'!H:H,A23)</f>
        <v>29914.756650258489</v>
      </c>
      <c r="I23" s="127">
        <f t="shared" si="2"/>
        <v>1.0686314873724159</v>
      </c>
      <c r="J23" s="71">
        <f t="shared" si="3"/>
        <v>0</v>
      </c>
      <c r="K23" s="127">
        <f t="shared" si="4"/>
        <v>0</v>
      </c>
      <c r="L23" s="71">
        <f>SUMIFS('CHIRP Payment Calc'!BA:BA,'CHIRP Payment Calc'!H:H,A23)</f>
        <v>8653514.3894139081</v>
      </c>
      <c r="M23" s="71">
        <f>SUMIFS('CHIRP Payment Calc'!AU:AU,'CHIRP Payment Calc'!H:H,A23)</f>
        <v>2697182.0075151511</v>
      </c>
      <c r="N23" s="71">
        <f>SUMIFS('CHIRP Payment Calc'!W:W,'CHIRP Payment Calc'!H:H,A23)</f>
        <v>2558265.5199163104</v>
      </c>
      <c r="O23" s="71">
        <f>SUMIFS('CHIRP Payment Calc'!AF:AF,'CHIRP Payment Calc'!H:H,A23)</f>
        <v>2552967.6855894155</v>
      </c>
      <c r="P23" s="127">
        <f t="shared" si="5"/>
        <v>0.90234035117259825</v>
      </c>
      <c r="Q23" s="71">
        <f t="shared" si="6"/>
        <v>2532715.4230410564</v>
      </c>
      <c r="R23" s="132">
        <f t="shared" si="7"/>
        <v>0.99206716847115772</v>
      </c>
    </row>
    <row r="24" spans="1:18">
      <c r="A24" s="24" t="s">
        <v>3011</v>
      </c>
      <c r="B24" s="109" t="s">
        <v>2718</v>
      </c>
      <c r="C24" s="109" t="s">
        <v>300</v>
      </c>
      <c r="D24" s="71">
        <f>SUMIFS('CHIRP Payment Calc'!AZ:AZ,'CHIRP Payment Calc'!H:H,A24)</f>
        <v>1476676260.3490262</v>
      </c>
      <c r="E24" s="71">
        <f>SUMIFS('CHIRP Payment Calc'!AT:AT,'CHIRP Payment Calc'!H:H,A24)-SUMIFS('CHIRP Payment Calc'!BG:BG,'CHIRP Payment Calc'!H:H,A24)</f>
        <v>397940001.08186758</v>
      </c>
      <c r="F24" s="71">
        <f>SUMIFS('CHIRP Payment Calc'!BG:BG,'CHIRP Payment Calc'!H:H,A24)</f>
        <v>59991078.270000003</v>
      </c>
      <c r="G24" s="71">
        <f>SUMIFS('CHIRP Payment Calc'!V:V,'CHIRP Payment Calc'!H:H,A24)</f>
        <v>890685571.94780052</v>
      </c>
      <c r="H24" s="71">
        <f>SUMIFS('CHIRP Payment Calc'!AE:AE,'CHIRP Payment Calc'!H:H,A24)</f>
        <v>159657872.05937657</v>
      </c>
      <c r="I24" s="127">
        <f t="shared" si="2"/>
        <v>1.0213982332204283</v>
      </c>
      <c r="J24" s="71">
        <f t="shared" si="3"/>
        <v>0</v>
      </c>
      <c r="K24" s="127">
        <f t="shared" si="4"/>
        <v>0</v>
      </c>
      <c r="L24" s="71">
        <f>SUMIFS('CHIRP Payment Calc'!BA:BA,'CHIRP Payment Calc'!H:H,A24)</f>
        <v>380566354.05673349</v>
      </c>
      <c r="M24" s="71">
        <f>SUMIFS('CHIRP Payment Calc'!AU:AU,'CHIRP Payment Calc'!H:H,A24)</f>
        <v>131842965.54661256</v>
      </c>
      <c r="N24" s="71">
        <f>SUMIFS('CHIRP Payment Calc'!W:W,'CHIRP Payment Calc'!H:H,A24)</f>
        <v>165923729.00136036</v>
      </c>
      <c r="O24" s="71">
        <f>SUMIFS('CHIRP Payment Calc'!AF:AF,'CHIRP Payment Calc'!H:H,A24)</f>
        <v>58951003.96062924</v>
      </c>
      <c r="P24" s="127">
        <f t="shared" si="5"/>
        <v>0.93733377821262653</v>
      </c>
      <c r="Q24" s="71">
        <f t="shared" si="6"/>
        <v>44743024.103087246</v>
      </c>
      <c r="R24" s="132">
        <f t="shared" si="7"/>
        <v>0.75898663461217941</v>
      </c>
    </row>
    <row r="25" spans="1:18">
      <c r="A25" s="24" t="s">
        <v>3018</v>
      </c>
      <c r="B25" s="109" t="s">
        <v>2718</v>
      </c>
      <c r="C25" s="109" t="s">
        <v>1530</v>
      </c>
      <c r="D25" s="71">
        <f>SUMIFS('CHIRP Payment Calc'!AZ:AZ,'CHIRP Payment Calc'!H:H,A25)</f>
        <v>146878576.62747923</v>
      </c>
      <c r="E25" s="71">
        <f>SUMIFS('CHIRP Payment Calc'!AT:AT,'CHIRP Payment Calc'!H:H,A25)-SUMIFS('CHIRP Payment Calc'!BG:BG,'CHIRP Payment Calc'!H:H,A25)</f>
        <v>48665591.768749997</v>
      </c>
      <c r="F25" s="71">
        <f>SUMIFS('CHIRP Payment Calc'!BG:BG,'CHIRP Payment Calc'!H:H,A25)</f>
        <v>74369683</v>
      </c>
      <c r="G25" s="71">
        <f>SUMIFS('CHIRP Payment Calc'!V:V,'CHIRP Payment Calc'!H:H,A25)</f>
        <v>0</v>
      </c>
      <c r="H25" s="71">
        <f>SUMIFS('CHIRP Payment Calc'!AE:AE,'CHIRP Payment Calc'!H:H,A25)</f>
        <v>40287525.326706812</v>
      </c>
      <c r="I25" s="127">
        <f t="shared" si="2"/>
        <v>1.111957944075699</v>
      </c>
      <c r="J25" s="71">
        <f t="shared" si="3"/>
        <v>9155444.1959813088</v>
      </c>
      <c r="K25" s="127">
        <f t="shared" si="4"/>
        <v>0.22725258306973045</v>
      </c>
      <c r="L25" s="71">
        <f>SUMIFS('CHIRP Payment Calc'!BA:BA,'CHIRP Payment Calc'!H:H,A25)</f>
        <v>79872297.077746585</v>
      </c>
      <c r="M25" s="71">
        <f>SUMIFS('CHIRP Payment Calc'!AU:AU,'CHIRP Payment Calc'!H:H,A25)</f>
        <v>20555210.831249997</v>
      </c>
      <c r="N25" s="71">
        <f>SUMIFS('CHIRP Payment Calc'!W:W,'CHIRP Payment Calc'!H:H,A25)</f>
        <v>28565495.830264393</v>
      </c>
      <c r="O25" s="71">
        <f>SUMIFS('CHIRP Payment Calc'!AF:AF,'CHIRP Payment Calc'!H:H,A25)</f>
        <v>22967469.020498984</v>
      </c>
      <c r="P25" s="127">
        <f t="shared" si="5"/>
        <v>0.90254291311847124</v>
      </c>
      <c r="Q25" s="71">
        <f t="shared" si="6"/>
        <v>22764360.708457541</v>
      </c>
      <c r="R25" s="132">
        <f t="shared" si="7"/>
        <v>0.99115669593980238</v>
      </c>
    </row>
    <row r="26" spans="1:18">
      <c r="A26" s="24" t="s">
        <v>3032</v>
      </c>
      <c r="B26" s="109" t="s">
        <v>2915</v>
      </c>
      <c r="C26" s="109" t="s">
        <v>300</v>
      </c>
      <c r="D26" s="71">
        <f>SUMIFS('CHIRP Payment Calc'!AZ:AZ,'CHIRP Payment Calc'!H:H,A26)</f>
        <v>32706773.921586648</v>
      </c>
      <c r="E26" s="71">
        <f>SUMIFS('CHIRP Payment Calc'!AT:AT,'CHIRP Payment Calc'!H:H,A26)-SUMIFS('CHIRP Payment Calc'!BG:BG,'CHIRP Payment Calc'!H:H,A26)</f>
        <v>22737145.219999999</v>
      </c>
      <c r="F26" s="71">
        <f>SUMIFS('CHIRP Payment Calc'!BG:BG,'CHIRP Payment Calc'!H:H,A26)</f>
        <v>0</v>
      </c>
      <c r="G26" s="71">
        <f>SUMIFS('CHIRP Payment Calc'!V:V,'CHIRP Payment Calc'!H:H,A26)</f>
        <v>8656597.6539850291</v>
      </c>
      <c r="H26" s="71">
        <f>SUMIFS('CHIRP Payment Calc'!AE:AE,'CHIRP Payment Calc'!H:H,A26)</f>
        <v>2040670.1272695293</v>
      </c>
      <c r="I26" s="127">
        <f t="shared" si="2"/>
        <v>1.0222473510047918</v>
      </c>
      <c r="J26" s="71">
        <f t="shared" si="3"/>
        <v>0</v>
      </c>
      <c r="K26" s="127">
        <f t="shared" si="4"/>
        <v>0</v>
      </c>
      <c r="L26" s="71">
        <f>SUMIFS('CHIRP Payment Calc'!BA:BA,'CHIRP Payment Calc'!H:H,A26)</f>
        <v>0</v>
      </c>
      <c r="M26" s="71">
        <f>SUMIFS('CHIRP Payment Calc'!AU:AU,'CHIRP Payment Calc'!H:H,A26)</f>
        <v>0</v>
      </c>
      <c r="N26" s="71">
        <f>SUMIFS('CHIRP Payment Calc'!W:W,'CHIRP Payment Calc'!H:H,A26)</f>
        <v>0</v>
      </c>
      <c r="O26" s="71">
        <f>SUMIFS('CHIRP Payment Calc'!AF:AF,'CHIRP Payment Calc'!H:H,A26)</f>
        <v>0</v>
      </c>
      <c r="P26" s="127">
        <f t="shared" si="5"/>
        <v>0</v>
      </c>
      <c r="Q26" s="71">
        <f t="shared" si="6"/>
        <v>0</v>
      </c>
      <c r="R26" s="132">
        <f t="shared" si="7"/>
        <v>0</v>
      </c>
    </row>
    <row r="27" spans="1:18">
      <c r="A27" s="24" t="s">
        <v>3034</v>
      </c>
      <c r="B27" s="109" t="s">
        <v>2915</v>
      </c>
      <c r="C27" s="109" t="s">
        <v>223</v>
      </c>
      <c r="D27" s="71">
        <f>SUMIFS('CHIRP Payment Calc'!AZ:AZ,'CHIRP Payment Calc'!H:H,A27)</f>
        <v>12069005.590453528</v>
      </c>
      <c r="E27" s="71">
        <f>SUMIFS('CHIRP Payment Calc'!AT:AT,'CHIRP Payment Calc'!H:H,A27)-SUMIFS('CHIRP Payment Calc'!BG:BG,'CHIRP Payment Calc'!H:H,A27)</f>
        <v>8890103.7700000014</v>
      </c>
      <c r="F27" s="71">
        <f>SUMIFS('CHIRP Payment Calc'!BG:BG,'CHIRP Payment Calc'!H:H,A27)</f>
        <v>0</v>
      </c>
      <c r="G27" s="71">
        <f>SUMIFS('CHIRP Payment Calc'!V:V,'CHIRP Payment Calc'!H:H,A27)</f>
        <v>137287.46350124973</v>
      </c>
      <c r="H27" s="71">
        <f>SUMIFS('CHIRP Payment Calc'!AE:AE,'CHIRP Payment Calc'!H:H,A27)</f>
        <v>2143254.4336442081</v>
      </c>
      <c r="I27" s="127">
        <f t="shared" si="2"/>
        <v>0.92556471064868329</v>
      </c>
      <c r="J27" s="71">
        <f t="shared" si="3"/>
        <v>1834713.7979069247</v>
      </c>
      <c r="K27" s="127">
        <f t="shared" si="4"/>
        <v>0.85604106031747851</v>
      </c>
      <c r="L27" s="71">
        <f>SUMIFS('CHIRP Payment Calc'!BA:BA,'CHIRP Payment Calc'!H:H,A27)</f>
        <v>0</v>
      </c>
      <c r="M27" s="71">
        <f>SUMIFS('CHIRP Payment Calc'!AU:AU,'CHIRP Payment Calc'!H:H,A27)</f>
        <v>0</v>
      </c>
      <c r="N27" s="71">
        <f>SUMIFS('CHIRP Payment Calc'!W:W,'CHIRP Payment Calc'!H:H,A27)</f>
        <v>0</v>
      </c>
      <c r="O27" s="71">
        <f>SUMIFS('CHIRP Payment Calc'!AF:AF,'CHIRP Payment Calc'!H:H,A27)</f>
        <v>0</v>
      </c>
      <c r="P27" s="127">
        <f t="shared" si="5"/>
        <v>0</v>
      </c>
      <c r="Q27" s="71">
        <f t="shared" si="6"/>
        <v>0</v>
      </c>
      <c r="R27" s="132">
        <f t="shared" si="7"/>
        <v>0</v>
      </c>
    </row>
    <row r="28" spans="1:18">
      <c r="A28" s="24" t="s">
        <v>3040</v>
      </c>
      <c r="B28" s="109" t="s">
        <v>2768</v>
      </c>
      <c r="C28" s="109" t="s">
        <v>1553</v>
      </c>
      <c r="D28" s="71">
        <f>SUMIFS('CHIRP Payment Calc'!AZ:AZ,'CHIRP Payment Calc'!H:H,A28)</f>
        <v>10423931.148603927</v>
      </c>
      <c r="E28" s="71">
        <f>SUMIFS('CHIRP Payment Calc'!AT:AT,'CHIRP Payment Calc'!H:H,A28)-SUMIFS('CHIRP Payment Calc'!BG:BG,'CHIRP Payment Calc'!H:H,A28)</f>
        <v>7775543.997516728</v>
      </c>
      <c r="F28" s="71">
        <f>SUMIFS('CHIRP Payment Calc'!BG:BG,'CHIRP Payment Calc'!H:H,A28)</f>
        <v>0</v>
      </c>
      <c r="G28" s="71">
        <f>SUMIFS('CHIRP Payment Calc'!V:V,'CHIRP Payment Calc'!H:H,A28)</f>
        <v>792317.23857630696</v>
      </c>
      <c r="H28" s="71">
        <f>SUMIFS('CHIRP Payment Calc'!AE:AE,'CHIRP Payment Calc'!H:H,A28)</f>
        <v>1372725.1547272014</v>
      </c>
      <c r="I28" s="127">
        <f t="shared" si="2"/>
        <v>0.95363124037437408</v>
      </c>
      <c r="J28" s="71">
        <f t="shared" si="3"/>
        <v>813676.79765049927</v>
      </c>
      <c r="K28" s="127">
        <f t="shared" si="4"/>
        <v>0.59274560158562795</v>
      </c>
      <c r="L28" s="71">
        <f>SUMIFS('CHIRP Payment Calc'!BA:BA,'CHIRP Payment Calc'!H:H,A28)</f>
        <v>12213490.555306656</v>
      </c>
      <c r="M28" s="71">
        <f>SUMIFS('CHIRP Payment Calc'!AU:AU,'CHIRP Payment Calc'!H:H,A28)</f>
        <v>4333801.4664197527</v>
      </c>
      <c r="N28" s="71">
        <f>SUMIFS('CHIRP Payment Calc'!W:W,'CHIRP Payment Calc'!H:H,A28)</f>
        <v>2104633.4269155338</v>
      </c>
      <c r="O28" s="71">
        <f>SUMIFS('CHIRP Payment Calc'!AF:AF,'CHIRP Payment Calc'!H:H,A28)</f>
        <v>4010042.3689552378</v>
      </c>
      <c r="P28" s="127">
        <f t="shared" si="5"/>
        <v>0.8554865797763892</v>
      </c>
      <c r="Q28" s="71">
        <f t="shared" si="6"/>
        <v>4010042.3689552378</v>
      </c>
      <c r="R28" s="132">
        <f t="shared" si="7"/>
        <v>1</v>
      </c>
    </row>
    <row r="29" spans="1:18">
      <c r="A29" s="24" t="s">
        <v>3014</v>
      </c>
      <c r="B29" s="109" t="s">
        <v>2916</v>
      </c>
      <c r="C29" s="109" t="s">
        <v>300</v>
      </c>
      <c r="D29" s="71">
        <f>SUMIFS('CHIRP Payment Calc'!AZ:AZ,'CHIRP Payment Calc'!H:H,A29)</f>
        <v>104673768.7009372</v>
      </c>
      <c r="E29" s="71">
        <f>SUMIFS('CHIRP Payment Calc'!AT:AT,'CHIRP Payment Calc'!H:H,A29)-SUMIFS('CHIRP Payment Calc'!BG:BG,'CHIRP Payment Calc'!H:H,A29)</f>
        <v>79421619.609999999</v>
      </c>
      <c r="F29" s="71">
        <f>SUMIFS('CHIRP Payment Calc'!BG:BG,'CHIRP Payment Calc'!H:H,A29)</f>
        <v>0</v>
      </c>
      <c r="G29" s="71">
        <f>SUMIFS('CHIRP Payment Calc'!V:V,'CHIRP Payment Calc'!H:H,A29)</f>
        <v>22584358.244209643</v>
      </c>
      <c r="H29" s="71">
        <f>SUMIFS('CHIRP Payment Calc'!AE:AE,'CHIRP Payment Calc'!H:H,A29)</f>
        <v>2053123.476746331</v>
      </c>
      <c r="I29" s="127">
        <f t="shared" si="2"/>
        <v>0.99412778026806914</v>
      </c>
      <c r="J29" s="71">
        <f t="shared" si="3"/>
        <v>0</v>
      </c>
      <c r="K29" s="127">
        <f t="shared" si="4"/>
        <v>0</v>
      </c>
      <c r="L29" s="71">
        <f>SUMIFS('CHIRP Payment Calc'!BA:BA,'CHIRP Payment Calc'!H:H,A29)</f>
        <v>66633517.922597691</v>
      </c>
      <c r="M29" s="71">
        <f>SUMIFS('CHIRP Payment Calc'!AU:AU,'CHIRP Payment Calc'!H:H,A29)</f>
        <v>34493133.359999985</v>
      </c>
      <c r="N29" s="71">
        <f>SUMIFS('CHIRP Payment Calc'!W:W,'CHIRP Payment Calc'!H:H,A29)</f>
        <v>32506729.418916322</v>
      </c>
      <c r="O29" s="71">
        <f>SUMIFS('CHIRP Payment Calc'!AF:AF,'CHIRP Payment Calc'!H:H,A29)</f>
        <v>0</v>
      </c>
      <c r="P29" s="127">
        <f t="shared" si="5"/>
        <v>1.005497906575249</v>
      </c>
      <c r="Q29" s="71">
        <f t="shared" si="6"/>
        <v>0</v>
      </c>
      <c r="R29" s="132">
        <f t="shared" si="7"/>
        <v>0</v>
      </c>
    </row>
    <row r="30" spans="1:18">
      <c r="A30" s="24" t="s">
        <v>3013</v>
      </c>
      <c r="B30" s="109" t="s">
        <v>2718</v>
      </c>
      <c r="C30" s="109" t="s">
        <v>487</v>
      </c>
      <c r="D30" s="71">
        <f>SUMIFS('CHIRP Payment Calc'!AZ:AZ,'CHIRP Payment Calc'!H:H,A30)</f>
        <v>619759262.0407517</v>
      </c>
      <c r="E30" s="71">
        <f>SUMIFS('CHIRP Payment Calc'!AT:AT,'CHIRP Payment Calc'!H:H,A30)-SUMIFS('CHIRP Payment Calc'!BG:BG,'CHIRP Payment Calc'!H:H,A30)</f>
        <v>206567229.49160767</v>
      </c>
      <c r="F30" s="71">
        <f>SUMIFS('CHIRP Payment Calc'!BG:BG,'CHIRP Payment Calc'!H:H,A30)</f>
        <v>44328813.380000003</v>
      </c>
      <c r="G30" s="71">
        <f>SUMIFS('CHIRP Payment Calc'!V:V,'CHIRP Payment Calc'!H:H,A30)</f>
        <v>192385663.52158678</v>
      </c>
      <c r="H30" s="71">
        <f>SUMIFS('CHIRP Payment Calc'!AE:AE,'CHIRP Payment Calc'!H:H,A30)</f>
        <v>154546083.24345911</v>
      </c>
      <c r="I30" s="127">
        <f t="shared" si="2"/>
        <v>0.96461291706737562</v>
      </c>
      <c r="J30" s="71">
        <f t="shared" si="3"/>
        <v>114501629.44348216</v>
      </c>
      <c r="K30" s="127">
        <f t="shared" si="4"/>
        <v>0.74088988242494491</v>
      </c>
      <c r="L30" s="71">
        <f>SUMIFS('CHIRP Payment Calc'!BA:BA,'CHIRP Payment Calc'!H:H,A30)</f>
        <v>189120277.06751505</v>
      </c>
      <c r="M30" s="71">
        <f>SUMIFS('CHIRP Payment Calc'!AU:AU,'CHIRP Payment Calc'!H:H,A30)</f>
        <v>56050752.634068191</v>
      </c>
      <c r="N30" s="71">
        <f>SUMIFS('CHIRP Payment Calc'!W:W,'CHIRP Payment Calc'!H:H,A30)</f>
        <v>89061393.015769139</v>
      </c>
      <c r="O30" s="71">
        <f>SUMIFS('CHIRP Payment Calc'!AF:AF,'CHIRP Payment Calc'!H:H,A30)</f>
        <v>39059814.548590489</v>
      </c>
      <c r="P30" s="127">
        <f t="shared" si="5"/>
        <v>0.97383508026841181</v>
      </c>
      <c r="Q30" s="71">
        <f t="shared" si="6"/>
        <v>25096103.71092622</v>
      </c>
      <c r="R30" s="132">
        <f t="shared" si="7"/>
        <v>0.64250442560874466</v>
      </c>
    </row>
    <row r="31" spans="1:18">
      <c r="A31" s="24" t="s">
        <v>3045</v>
      </c>
      <c r="B31" s="109" t="s">
        <v>2915</v>
      </c>
      <c r="C31" s="109" t="s">
        <v>1517</v>
      </c>
      <c r="D31" s="71">
        <f>SUMIFS('CHIRP Payment Calc'!AZ:AZ,'CHIRP Payment Calc'!H:H,A31)</f>
        <v>1360483.4876505304</v>
      </c>
      <c r="E31" s="71">
        <f>SUMIFS('CHIRP Payment Calc'!AT:AT,'CHIRP Payment Calc'!H:H,A31)-SUMIFS('CHIRP Payment Calc'!BG:BG,'CHIRP Payment Calc'!H:H,A31)</f>
        <v>1238019.4099999999</v>
      </c>
      <c r="F31" s="71">
        <f>SUMIFS('CHIRP Payment Calc'!BG:BG,'CHIRP Payment Calc'!H:H,A31)</f>
        <v>0</v>
      </c>
      <c r="G31" s="71">
        <f>SUMIFS('CHIRP Payment Calc'!V:V,'CHIRP Payment Calc'!H:H,A31)</f>
        <v>366406.75777547481</v>
      </c>
      <c r="H31" s="71">
        <f>SUMIFS('CHIRP Payment Calc'!AE:AE,'CHIRP Payment Calc'!H:H,A31)</f>
        <v>0</v>
      </c>
      <c r="I31" s="127">
        <f t="shared" si="2"/>
        <v>1.1793058734922377</v>
      </c>
      <c r="J31" s="71">
        <f t="shared" si="3"/>
        <v>0</v>
      </c>
      <c r="K31" s="127">
        <f t="shared" si="4"/>
        <v>0</v>
      </c>
      <c r="L31" s="71">
        <f>SUMIFS('CHIRP Payment Calc'!BA:BA,'CHIRP Payment Calc'!H:H,A31)</f>
        <v>0</v>
      </c>
      <c r="M31" s="71">
        <f>SUMIFS('CHIRP Payment Calc'!AU:AU,'CHIRP Payment Calc'!H:H,A31)</f>
        <v>0</v>
      </c>
      <c r="N31" s="71">
        <f>SUMIFS('CHIRP Payment Calc'!W:W,'CHIRP Payment Calc'!H:H,A31)</f>
        <v>0</v>
      </c>
      <c r="O31" s="71">
        <f>SUMIFS('CHIRP Payment Calc'!AF:AF,'CHIRP Payment Calc'!H:H,A31)</f>
        <v>0</v>
      </c>
      <c r="P31" s="127">
        <f t="shared" si="5"/>
        <v>0</v>
      </c>
      <c r="Q31" s="71">
        <f t="shared" si="6"/>
        <v>0</v>
      </c>
      <c r="R31" s="132">
        <f t="shared" si="7"/>
        <v>0</v>
      </c>
    </row>
    <row r="32" spans="1:18">
      <c r="A32" s="24" t="s">
        <v>3033</v>
      </c>
      <c r="B32" s="109" t="s">
        <v>2915</v>
      </c>
      <c r="C32" s="109" t="s">
        <v>1189</v>
      </c>
      <c r="D32" s="71">
        <f>SUMIFS('CHIRP Payment Calc'!AZ:AZ,'CHIRP Payment Calc'!H:H,A32)</f>
        <v>4431386.2973387819</v>
      </c>
      <c r="E32" s="71">
        <f>SUMIFS('CHIRP Payment Calc'!AT:AT,'CHIRP Payment Calc'!H:H,A32)-SUMIFS('CHIRP Payment Calc'!BG:BG,'CHIRP Payment Calc'!H:H,A32)</f>
        <v>3310676.8200000003</v>
      </c>
      <c r="F32" s="71">
        <f>SUMIFS('CHIRP Payment Calc'!BG:BG,'CHIRP Payment Calc'!H:H,A32)</f>
        <v>0</v>
      </c>
      <c r="G32" s="71">
        <f>SUMIFS('CHIRP Payment Calc'!V:V,'CHIRP Payment Calc'!H:H,A32)</f>
        <v>754071.47828347993</v>
      </c>
      <c r="H32" s="71">
        <f>SUMIFS('CHIRP Payment Calc'!AE:AE,'CHIRP Payment Calc'!H:H,A32)</f>
        <v>314976.12659302371</v>
      </c>
      <c r="I32" s="127">
        <f t="shared" si="2"/>
        <v>0.9883418260120308</v>
      </c>
      <c r="J32" s="71">
        <f t="shared" si="3"/>
        <v>0</v>
      </c>
      <c r="K32" s="127">
        <f t="shared" si="4"/>
        <v>0</v>
      </c>
      <c r="L32" s="71">
        <f>SUMIFS('CHIRP Payment Calc'!BA:BA,'CHIRP Payment Calc'!H:H,A32)</f>
        <v>0</v>
      </c>
      <c r="M32" s="71">
        <f>SUMIFS('CHIRP Payment Calc'!AU:AU,'CHIRP Payment Calc'!H:H,A32)</f>
        <v>0</v>
      </c>
      <c r="N32" s="71">
        <f>SUMIFS('CHIRP Payment Calc'!W:W,'CHIRP Payment Calc'!H:H,A32)</f>
        <v>0</v>
      </c>
      <c r="O32" s="71">
        <f>SUMIFS('CHIRP Payment Calc'!AF:AF,'CHIRP Payment Calc'!H:H,A32)</f>
        <v>0</v>
      </c>
      <c r="P32" s="127">
        <f t="shared" si="5"/>
        <v>0</v>
      </c>
      <c r="Q32" s="71">
        <f t="shared" si="6"/>
        <v>0</v>
      </c>
      <c r="R32" s="132">
        <f t="shared" si="7"/>
        <v>0</v>
      </c>
    </row>
    <row r="33" spans="1:18">
      <c r="A33" s="24" t="s">
        <v>3050</v>
      </c>
      <c r="B33" s="109" t="s">
        <v>2917</v>
      </c>
      <c r="C33" s="109" t="s">
        <v>1189</v>
      </c>
      <c r="D33" s="71">
        <f>SUMIFS('CHIRP Payment Calc'!AZ:AZ,'CHIRP Payment Calc'!H:H,A33)</f>
        <v>722042.77998455695</v>
      </c>
      <c r="E33" s="71">
        <f>SUMIFS('CHIRP Payment Calc'!AT:AT,'CHIRP Payment Calc'!H:H,A33)-SUMIFS('CHIRP Payment Calc'!BG:BG,'CHIRP Payment Calc'!H:H,A33)</f>
        <v>639124.85</v>
      </c>
      <c r="F33" s="71">
        <f>SUMIFS('CHIRP Payment Calc'!BG:BG,'CHIRP Payment Calc'!H:H,A33)</f>
        <v>0</v>
      </c>
      <c r="G33" s="71">
        <f>SUMIFS('CHIRP Payment Calc'!V:V,'CHIRP Payment Calc'!H:H,A33)</f>
        <v>187133.95660316231</v>
      </c>
      <c r="H33" s="71">
        <f>SUMIFS('CHIRP Payment Calc'!AE:AE,'CHIRP Payment Calc'!H:H,A33)</f>
        <v>0</v>
      </c>
      <c r="I33" s="127">
        <f t="shared" si="2"/>
        <v>1.1443349750285354</v>
      </c>
      <c r="J33" s="71">
        <f t="shared" si="3"/>
        <v>0</v>
      </c>
      <c r="K33" s="127">
        <f t="shared" si="4"/>
        <v>0</v>
      </c>
      <c r="L33" s="71">
        <f>SUMIFS('CHIRP Payment Calc'!BA:BA,'CHIRP Payment Calc'!H:H,A33)</f>
        <v>0</v>
      </c>
      <c r="M33" s="71">
        <f>SUMIFS('CHIRP Payment Calc'!AU:AU,'CHIRP Payment Calc'!H:H,A33)</f>
        <v>0</v>
      </c>
      <c r="N33" s="71">
        <f>SUMIFS('CHIRP Payment Calc'!W:W,'CHIRP Payment Calc'!H:H,A33)</f>
        <v>0</v>
      </c>
      <c r="O33" s="71">
        <f>SUMIFS('CHIRP Payment Calc'!AF:AF,'CHIRP Payment Calc'!H:H,A33)</f>
        <v>0</v>
      </c>
      <c r="P33" s="127">
        <f t="shared" si="5"/>
        <v>0</v>
      </c>
      <c r="Q33" s="71">
        <f t="shared" si="6"/>
        <v>0</v>
      </c>
      <c r="R33" s="132">
        <f t="shared" si="7"/>
        <v>0</v>
      </c>
    </row>
    <row r="34" spans="1:18">
      <c r="A34" s="24" t="s">
        <v>3020</v>
      </c>
      <c r="B34" s="109" t="s">
        <v>2718</v>
      </c>
      <c r="C34" s="109" t="s">
        <v>1189</v>
      </c>
      <c r="D34" s="71">
        <f>SUMIFS('CHIRP Payment Calc'!AZ:AZ,'CHIRP Payment Calc'!H:H,A34)</f>
        <v>212139549.76069534</v>
      </c>
      <c r="E34" s="71">
        <f>SUMIFS('CHIRP Payment Calc'!AT:AT,'CHIRP Payment Calc'!H:H,A34)-SUMIFS('CHIRP Payment Calc'!BG:BG,'CHIRP Payment Calc'!H:H,A34)</f>
        <v>50239394.680941746</v>
      </c>
      <c r="F34" s="71">
        <f>SUMIFS('CHIRP Payment Calc'!BG:BG,'CHIRP Payment Calc'!H:H,A34)</f>
        <v>34361194.25</v>
      </c>
      <c r="G34" s="71">
        <f>SUMIFS('CHIRP Payment Calc'!V:V,'CHIRP Payment Calc'!H:H,A34)</f>
        <v>25843816.415058669</v>
      </c>
      <c r="H34" s="71">
        <f>SUMIFS('CHIRP Payment Calc'!AE:AE,'CHIRP Payment Calc'!H:H,A34)</f>
        <v>94141067.352252349</v>
      </c>
      <c r="I34" s="127">
        <f t="shared" si="2"/>
        <v>0.96439100077772399</v>
      </c>
      <c r="J34" s="71">
        <f t="shared" si="3"/>
        <v>80481189.438625395</v>
      </c>
      <c r="K34" s="127">
        <f t="shared" si="4"/>
        <v>0.85489990396523652</v>
      </c>
      <c r="L34" s="71">
        <f>SUMIFS('CHIRP Payment Calc'!BA:BA,'CHIRP Payment Calc'!H:H,A34)</f>
        <v>81420586.269810677</v>
      </c>
      <c r="M34" s="71">
        <f>SUMIFS('CHIRP Payment Calc'!AU:AU,'CHIRP Payment Calc'!H:H,A34)</f>
        <v>19081794.467974186</v>
      </c>
      <c r="N34" s="71">
        <f>SUMIFS('CHIRP Payment Calc'!W:W,'CHIRP Payment Calc'!H:H,A34)</f>
        <v>29902265.187592786</v>
      </c>
      <c r="O34" s="71">
        <f>SUMIFS('CHIRP Payment Calc'!AF:AF,'CHIRP Payment Calc'!H:H,A34)</f>
        <v>23768334.092279192</v>
      </c>
      <c r="P34" s="127">
        <f t="shared" si="5"/>
        <v>0.89353807287459286</v>
      </c>
      <c r="Q34" s="71">
        <f t="shared" si="6"/>
        <v>23768334.092279192</v>
      </c>
      <c r="R34" s="132">
        <f t="shared" si="7"/>
        <v>1</v>
      </c>
    </row>
    <row r="35" spans="1:18">
      <c r="A35" s="24" t="s">
        <v>3003</v>
      </c>
      <c r="B35" s="109" t="s">
        <v>1552</v>
      </c>
      <c r="C35" s="109" t="s">
        <v>487</v>
      </c>
      <c r="D35" s="71">
        <f>SUMIFS('CHIRP Payment Calc'!AZ:AZ,'CHIRP Payment Calc'!H:H,A35)</f>
        <v>112112676.78655623</v>
      </c>
      <c r="E35" s="71">
        <f>SUMIFS('CHIRP Payment Calc'!AT:AT,'CHIRP Payment Calc'!H:H,A35)-SUMIFS('CHIRP Payment Calc'!BG:BG,'CHIRP Payment Calc'!H:H,A35)</f>
        <v>52745059.912698418</v>
      </c>
      <c r="F35" s="71">
        <f>SUMIFS('CHIRP Payment Calc'!BG:BG,'CHIRP Payment Calc'!H:H,A35)</f>
        <v>0</v>
      </c>
      <c r="G35" s="71">
        <f>SUMIFS('CHIRP Payment Calc'!V:V,'CHIRP Payment Calc'!H:H,A35)</f>
        <v>5923363.8213798245</v>
      </c>
      <c r="H35" s="71">
        <f>SUMIFS('CHIRP Payment Calc'!AE:AE,'CHIRP Payment Calc'!H:H,A35)</f>
        <v>37514637.535405554</v>
      </c>
      <c r="I35" s="127">
        <f t="shared" si="2"/>
        <v>0.85791423437868897</v>
      </c>
      <c r="J35" s="71">
        <f t="shared" si="3"/>
        <v>37514637.535405554</v>
      </c>
      <c r="K35" s="127">
        <f t="shared" si="4"/>
        <v>1</v>
      </c>
      <c r="L35" s="71">
        <f>SUMIFS('CHIRP Payment Calc'!BA:BA,'CHIRP Payment Calc'!H:H,A35)</f>
        <v>57283793.167691343</v>
      </c>
      <c r="M35" s="71">
        <f>SUMIFS('CHIRP Payment Calc'!AU:AU,'CHIRP Payment Calc'!H:H,A35)</f>
        <v>10188110.888888888</v>
      </c>
      <c r="N35" s="71">
        <f>SUMIFS('CHIRP Payment Calc'!W:W,'CHIRP Payment Calc'!H:H,A35)</f>
        <v>15869178.611180903</v>
      </c>
      <c r="O35" s="71">
        <f>SUMIFS('CHIRP Payment Calc'!AF:AF,'CHIRP Payment Calc'!H:H,A35)</f>
        <v>21852639.399003211</v>
      </c>
      <c r="P35" s="127">
        <f t="shared" si="5"/>
        <v>0.83636097139766064</v>
      </c>
      <c r="Q35" s="71">
        <f t="shared" si="6"/>
        <v>21852639.399003211</v>
      </c>
      <c r="R35" s="132">
        <f t="shared" si="7"/>
        <v>1</v>
      </c>
    </row>
    <row r="36" spans="1:18">
      <c r="A36" s="24" t="s">
        <v>3028</v>
      </c>
      <c r="B36" s="109" t="s">
        <v>2768</v>
      </c>
      <c r="C36" s="109" t="s">
        <v>310</v>
      </c>
      <c r="D36" s="71">
        <f>SUMIFS('CHIRP Payment Calc'!AZ:AZ,'CHIRP Payment Calc'!H:H,A36)</f>
        <v>65394242.895707317</v>
      </c>
      <c r="E36" s="71">
        <f>SUMIFS('CHIRP Payment Calc'!AT:AT,'CHIRP Payment Calc'!H:H,A36)-SUMIFS('CHIRP Payment Calc'!BG:BG,'CHIRP Payment Calc'!H:H,A36)</f>
        <v>48199085.040591694</v>
      </c>
      <c r="F36" s="71">
        <f>SUMIFS('CHIRP Payment Calc'!BG:BG,'CHIRP Payment Calc'!H:H,A36)</f>
        <v>0</v>
      </c>
      <c r="G36" s="71">
        <f>SUMIFS('CHIRP Payment Calc'!V:V,'CHIRP Payment Calc'!H:H,A36)</f>
        <v>6818071.0785416616</v>
      </c>
      <c r="H36" s="71">
        <f>SUMIFS('CHIRP Payment Calc'!AE:AE,'CHIRP Payment Calc'!H:H,A36)</f>
        <v>8128129.827229877</v>
      </c>
      <c r="I36" s="127">
        <f t="shared" si="2"/>
        <v>0.96560925167478751</v>
      </c>
      <c r="J36" s="71">
        <f t="shared" si="3"/>
        <v>3837662.4870032268</v>
      </c>
      <c r="K36" s="127">
        <f t="shared" si="4"/>
        <v>0.47214581565205249</v>
      </c>
      <c r="L36" s="71">
        <f>SUMIFS('CHIRP Payment Calc'!BA:BA,'CHIRP Payment Calc'!H:H,A36)</f>
        <v>57551634.121978529</v>
      </c>
      <c r="M36" s="71">
        <f>SUMIFS('CHIRP Payment Calc'!AU:AU,'CHIRP Payment Calc'!H:H,A36)</f>
        <v>15043584.808374926</v>
      </c>
      <c r="N36" s="71">
        <f>SUMIFS('CHIRP Payment Calc'!W:W,'CHIRP Payment Calc'!H:H,A36)</f>
        <v>15482844.478029629</v>
      </c>
      <c r="O36" s="71">
        <f>SUMIFS('CHIRP Payment Calc'!AF:AF,'CHIRP Payment Calc'!H:H,A36)</f>
        <v>18759621.910269618</v>
      </c>
      <c r="P36" s="127">
        <f t="shared" si="5"/>
        <v>0.85637970056965262</v>
      </c>
      <c r="Q36" s="71">
        <f t="shared" si="6"/>
        <v>18759621.910269618</v>
      </c>
      <c r="R36" s="132">
        <f t="shared" si="7"/>
        <v>1</v>
      </c>
    </row>
    <row r="37" spans="1:18">
      <c r="A37" s="24" t="s">
        <v>3042</v>
      </c>
      <c r="B37" s="109" t="s">
        <v>2768</v>
      </c>
      <c r="C37" s="109" t="s">
        <v>487</v>
      </c>
      <c r="D37" s="71">
        <f>SUMIFS('CHIRP Payment Calc'!AZ:AZ,'CHIRP Payment Calc'!H:H,A37)</f>
        <v>2988734.7400910598</v>
      </c>
      <c r="E37" s="71">
        <f>SUMIFS('CHIRP Payment Calc'!AT:AT,'CHIRP Payment Calc'!H:H,A37)-SUMIFS('CHIRP Payment Calc'!BG:BG,'CHIRP Payment Calc'!H:H,A37)</f>
        <v>1881395.9659311408</v>
      </c>
      <c r="F37" s="71">
        <f>SUMIFS('CHIRP Payment Calc'!BG:BG,'CHIRP Payment Calc'!H:H,A37)</f>
        <v>0</v>
      </c>
      <c r="G37" s="71">
        <f>SUMIFS('CHIRP Payment Calc'!V:V,'CHIRP Payment Calc'!H:H,A37)</f>
        <v>240653.43411812594</v>
      </c>
      <c r="H37" s="71">
        <f>SUMIFS('CHIRP Payment Calc'!AE:AE,'CHIRP Payment Calc'!H:H,A37)</f>
        <v>599392.52545700851</v>
      </c>
      <c r="I37" s="127">
        <f t="shared" si="2"/>
        <v>0.91056656484120069</v>
      </c>
      <c r="J37" s="71">
        <f t="shared" si="3"/>
        <v>567811.86603268713</v>
      </c>
      <c r="K37" s="127">
        <f t="shared" si="4"/>
        <v>0.94731222348786781</v>
      </c>
      <c r="L37" s="71">
        <f>SUMIFS('CHIRP Payment Calc'!BA:BA,'CHIRP Payment Calc'!H:H,A37)</f>
        <v>5845263.491439227</v>
      </c>
      <c r="M37" s="71">
        <f>SUMIFS('CHIRP Payment Calc'!AU:AU,'CHIRP Payment Calc'!H:H,A37)</f>
        <v>1965266.8462857143</v>
      </c>
      <c r="N37" s="71">
        <f>SUMIFS('CHIRP Payment Calc'!W:W,'CHIRP Payment Calc'!H:H,A37)</f>
        <v>1149281.225808861</v>
      </c>
      <c r="O37" s="71">
        <f>SUMIFS('CHIRP Payment Calc'!AF:AF,'CHIRP Payment Calc'!H:H,A37)</f>
        <v>1893829.6449368708</v>
      </c>
      <c r="P37" s="127">
        <f t="shared" si="5"/>
        <v>0.85682668101558557</v>
      </c>
      <c r="Q37" s="71">
        <f t="shared" si="6"/>
        <v>1893829.6449368708</v>
      </c>
      <c r="R37" s="132">
        <f t="shared" si="7"/>
        <v>1</v>
      </c>
    </row>
    <row r="38" spans="1:18">
      <c r="A38" s="24" t="s">
        <v>3046</v>
      </c>
      <c r="B38" s="109" t="s">
        <v>2768</v>
      </c>
      <c r="C38" s="109" t="s">
        <v>1489</v>
      </c>
      <c r="D38" s="71">
        <f>SUMIFS('CHIRP Payment Calc'!AZ:AZ,'CHIRP Payment Calc'!H:H,A38)</f>
        <v>12313125.827898376</v>
      </c>
      <c r="E38" s="71">
        <f>SUMIFS('CHIRP Payment Calc'!AT:AT,'CHIRP Payment Calc'!H:H,A38)-SUMIFS('CHIRP Payment Calc'!BG:BG,'CHIRP Payment Calc'!H:H,A38)</f>
        <v>11156048.080122039</v>
      </c>
      <c r="F38" s="71">
        <f>SUMIFS('CHIRP Payment Calc'!BG:BG,'CHIRP Payment Calc'!H:H,A38)</f>
        <v>0</v>
      </c>
      <c r="G38" s="71">
        <f>SUMIFS('CHIRP Payment Calc'!V:V,'CHIRP Payment Calc'!H:H,A38)</f>
        <v>0</v>
      </c>
      <c r="H38" s="71">
        <f>SUMIFS('CHIRP Payment Calc'!AE:AE,'CHIRP Payment Calc'!H:H,A38)</f>
        <v>1426042.6276496002</v>
      </c>
      <c r="I38" s="127">
        <f t="shared" si="2"/>
        <v>1.0218437530512241</v>
      </c>
      <c r="J38" s="71">
        <f t="shared" si="3"/>
        <v>0</v>
      </c>
      <c r="K38" s="127">
        <f t="shared" si="4"/>
        <v>0</v>
      </c>
      <c r="L38" s="71">
        <f>SUMIFS('CHIRP Payment Calc'!BA:BA,'CHIRP Payment Calc'!H:H,A38)</f>
        <v>25878994.251488402</v>
      </c>
      <c r="M38" s="71">
        <f>SUMIFS('CHIRP Payment Calc'!AU:AU,'CHIRP Payment Calc'!H:H,A38)</f>
        <v>9116470.1662652455</v>
      </c>
      <c r="N38" s="71">
        <f>SUMIFS('CHIRP Payment Calc'!W:W,'CHIRP Payment Calc'!H:H,A38)</f>
        <v>3775582.8661523359</v>
      </c>
      <c r="O38" s="71">
        <f>SUMIFS('CHIRP Payment Calc'!AF:AF,'CHIRP Payment Calc'!H:H,A38)</f>
        <v>9376355.5789106768</v>
      </c>
      <c r="P38" s="127">
        <f t="shared" si="5"/>
        <v>0.8604819953560412</v>
      </c>
      <c r="Q38" s="71">
        <f t="shared" si="6"/>
        <v>9376355.5789106768</v>
      </c>
      <c r="R38" s="132">
        <f t="shared" si="7"/>
        <v>1</v>
      </c>
    </row>
    <row r="39" spans="1:18">
      <c r="A39" s="24" t="s">
        <v>3041</v>
      </c>
      <c r="B39" s="109" t="s">
        <v>2768</v>
      </c>
      <c r="C39" s="109" t="s">
        <v>1202</v>
      </c>
      <c r="D39" s="71">
        <f>SUMIFS('CHIRP Payment Calc'!AZ:AZ,'CHIRP Payment Calc'!H:H,A39)</f>
        <v>5054788.5151463952</v>
      </c>
      <c r="E39" s="71">
        <f>SUMIFS('CHIRP Payment Calc'!AT:AT,'CHIRP Payment Calc'!H:H,A39)-SUMIFS('CHIRP Payment Calc'!BG:BG,'CHIRP Payment Calc'!H:H,A39)</f>
        <v>3463301.6486972515</v>
      </c>
      <c r="F39" s="71">
        <f>SUMIFS('CHIRP Payment Calc'!BG:BG,'CHIRP Payment Calc'!H:H,A39)</f>
        <v>0</v>
      </c>
      <c r="G39" s="71">
        <f>SUMIFS('CHIRP Payment Calc'!V:V,'CHIRP Payment Calc'!H:H,A39)</f>
        <v>0</v>
      </c>
      <c r="H39" s="71">
        <f>SUMIFS('CHIRP Payment Calc'!AE:AE,'CHIRP Payment Calc'!H:H,A39)</f>
        <v>1039385.1817088078</v>
      </c>
      <c r="I39" s="127">
        <f t="shared" si="2"/>
        <v>0.89077650171001355</v>
      </c>
      <c r="J39" s="71">
        <f t="shared" si="3"/>
        <v>1039385.1817088078</v>
      </c>
      <c r="K39" s="127">
        <f t="shared" si="4"/>
        <v>1</v>
      </c>
      <c r="L39" s="71">
        <f>SUMIFS('CHIRP Payment Calc'!BA:BA,'CHIRP Payment Calc'!H:H,A39)</f>
        <v>9921393.2329244465</v>
      </c>
      <c r="M39" s="71">
        <f>SUMIFS('CHIRP Payment Calc'!AU:AU,'CHIRP Payment Calc'!H:H,A39)</f>
        <v>3920629.1422784808</v>
      </c>
      <c r="N39" s="71">
        <f>SUMIFS('CHIRP Payment Calc'!W:W,'CHIRP Payment Calc'!H:H,A39)</f>
        <v>839582.47935599484</v>
      </c>
      <c r="O39" s="71">
        <f>SUMIFS('CHIRP Payment Calc'!AF:AF,'CHIRP Payment Calc'!H:H,A39)</f>
        <v>3387102.5889870725</v>
      </c>
      <c r="P39" s="127">
        <f t="shared" si="5"/>
        <v>0.82118650267630133</v>
      </c>
      <c r="Q39" s="71">
        <f t="shared" si="6"/>
        <v>3387102.5889870725</v>
      </c>
      <c r="R39" s="132">
        <f t="shared" si="7"/>
        <v>1</v>
      </c>
    </row>
    <row r="40" spans="1:18">
      <c r="A40" s="24" t="s">
        <v>3004</v>
      </c>
      <c r="B40" s="109" t="s">
        <v>1552</v>
      </c>
      <c r="C40" s="109" t="s">
        <v>223</v>
      </c>
      <c r="D40" s="71">
        <f>SUMIFS('CHIRP Payment Calc'!AZ:AZ,'CHIRP Payment Calc'!H:H,A40)</f>
        <v>370718948.04544342</v>
      </c>
      <c r="E40" s="71">
        <f>SUMIFS('CHIRP Payment Calc'!AT:AT,'CHIRP Payment Calc'!H:H,A40)-SUMIFS('CHIRP Payment Calc'!BG:BG,'CHIRP Payment Calc'!H:H,A40)</f>
        <v>165572721.8671329</v>
      </c>
      <c r="F40" s="71">
        <f>SUMIFS('CHIRP Payment Calc'!BG:BG,'CHIRP Payment Calc'!H:H,A40)</f>
        <v>0</v>
      </c>
      <c r="G40" s="71">
        <f>SUMIFS('CHIRP Payment Calc'!V:V,'CHIRP Payment Calc'!H:H,A40)</f>
        <v>294720618.71373516</v>
      </c>
      <c r="H40" s="71">
        <f>SUMIFS('CHIRP Payment Calc'!AE:AE,'CHIRP Payment Calc'!H:H,A40)</f>
        <v>0</v>
      </c>
      <c r="I40" s="127">
        <f t="shared" si="2"/>
        <v>1.2416234535830752</v>
      </c>
      <c r="J40" s="71">
        <f t="shared" si="3"/>
        <v>0</v>
      </c>
      <c r="K40" s="127">
        <f t="shared" si="4"/>
        <v>0</v>
      </c>
      <c r="L40" s="71">
        <f>SUMIFS('CHIRP Payment Calc'!BA:BA,'CHIRP Payment Calc'!H:H,A40)</f>
        <v>262910819.98093033</v>
      </c>
      <c r="M40" s="71">
        <f>SUMIFS('CHIRP Payment Calc'!AU:AU,'CHIRP Payment Calc'!H:H,A40)</f>
        <v>142429623.69930071</v>
      </c>
      <c r="N40" s="71">
        <f>SUMIFS('CHIRP Payment Calc'!W:W,'CHIRP Payment Calc'!H:H,A40)</f>
        <v>0</v>
      </c>
      <c r="O40" s="71">
        <f>SUMIFS('CHIRP Payment Calc'!AF:AF,'CHIRP Payment Calc'!H:H,A40)</f>
        <v>84380312.603563637</v>
      </c>
      <c r="P40" s="127">
        <f t="shared" si="5"/>
        <v>0.86268772171231112</v>
      </c>
      <c r="Q40" s="71">
        <f t="shared" si="6"/>
        <v>84380312.603563637</v>
      </c>
      <c r="R40" s="132">
        <f t="shared" si="7"/>
        <v>1</v>
      </c>
    </row>
    <row r="41" spans="1:18">
      <c r="A41" s="24" t="s">
        <v>3056</v>
      </c>
      <c r="B41" s="109" t="s">
        <v>2917</v>
      </c>
      <c r="C41" s="109" t="s">
        <v>1517</v>
      </c>
      <c r="D41" s="71">
        <f>SUMIFS('CHIRP Payment Calc'!AZ:AZ,'CHIRP Payment Calc'!H:H,A41)</f>
        <v>12147.112074478811</v>
      </c>
      <c r="E41" s="71">
        <f>SUMIFS('CHIRP Payment Calc'!AT:AT,'CHIRP Payment Calc'!H:H,A41)-SUMIFS('CHIRP Payment Calc'!BG:BG,'CHIRP Payment Calc'!H:H,A41)</f>
        <v>296549.3</v>
      </c>
      <c r="F41" s="71">
        <f>SUMIFS('CHIRP Payment Calc'!BG:BG,'CHIRP Payment Calc'!H:H,A41)</f>
        <v>0</v>
      </c>
      <c r="G41" s="71">
        <f>SUMIFS('CHIRP Payment Calc'!V:V,'CHIRP Payment Calc'!H:H,A41)</f>
        <v>338304.11428588995</v>
      </c>
      <c r="H41" s="71">
        <f>SUMIFS('CHIRP Payment Calc'!AE:AE,'CHIRP Payment Calc'!H:H,A41)</f>
        <v>0</v>
      </c>
      <c r="I41" s="127">
        <f t="shared" si="2"/>
        <v>52.263732349989802</v>
      </c>
      <c r="J41" s="71">
        <f t="shared" si="3"/>
        <v>0</v>
      </c>
      <c r="K41" s="127">
        <f t="shared" si="4"/>
        <v>0</v>
      </c>
      <c r="L41" s="71">
        <f>SUMIFS('CHIRP Payment Calc'!BA:BA,'CHIRP Payment Calc'!H:H,A41)</f>
        <v>0</v>
      </c>
      <c r="M41" s="71">
        <f>SUMIFS('CHIRP Payment Calc'!AU:AU,'CHIRP Payment Calc'!H:H,A41)</f>
        <v>0</v>
      </c>
      <c r="N41" s="71">
        <f>SUMIFS('CHIRP Payment Calc'!W:W,'CHIRP Payment Calc'!H:H,A41)</f>
        <v>0</v>
      </c>
      <c r="O41" s="71">
        <f>SUMIFS('CHIRP Payment Calc'!AF:AF,'CHIRP Payment Calc'!H:H,A41)</f>
        <v>0</v>
      </c>
      <c r="P41" s="127">
        <f t="shared" si="5"/>
        <v>0</v>
      </c>
      <c r="Q41" s="71">
        <f t="shared" si="6"/>
        <v>0</v>
      </c>
      <c r="R41" s="132">
        <f t="shared" si="7"/>
        <v>0</v>
      </c>
    </row>
    <row r="42" spans="1:18">
      <c r="A42" s="24" t="s">
        <v>3027</v>
      </c>
      <c r="B42" s="109" t="s">
        <v>2768</v>
      </c>
      <c r="C42" s="109" t="s">
        <v>1517</v>
      </c>
      <c r="D42" s="71">
        <f>SUMIFS('CHIRP Payment Calc'!AZ:AZ,'CHIRP Payment Calc'!H:H,A42)</f>
        <v>7017003.4033568623</v>
      </c>
      <c r="E42" s="71">
        <f>SUMIFS('CHIRP Payment Calc'!AT:AT,'CHIRP Payment Calc'!H:H,A42)-SUMIFS('CHIRP Payment Calc'!BG:BG,'CHIRP Payment Calc'!H:H,A42)</f>
        <v>6355287.2153947018</v>
      </c>
      <c r="F42" s="71">
        <f>SUMIFS('CHIRP Payment Calc'!BG:BG,'CHIRP Payment Calc'!H:H,A42)</f>
        <v>0</v>
      </c>
      <c r="G42" s="71">
        <f>SUMIFS('CHIRP Payment Calc'!V:V,'CHIRP Payment Calc'!H:H,A42)</f>
        <v>0</v>
      </c>
      <c r="H42" s="71">
        <f>SUMIFS('CHIRP Payment Calc'!AE:AE,'CHIRP Payment Calc'!H:H,A42)</f>
        <v>659945.70942110964</v>
      </c>
      <c r="I42" s="127">
        <f t="shared" si="2"/>
        <v>0.99974768737603803</v>
      </c>
      <c r="J42" s="71">
        <f t="shared" si="3"/>
        <v>0</v>
      </c>
      <c r="K42" s="127">
        <f t="shared" si="4"/>
        <v>0</v>
      </c>
      <c r="L42" s="71">
        <f>SUMIFS('CHIRP Payment Calc'!BA:BA,'CHIRP Payment Calc'!H:H,A42)</f>
        <v>6973876.3275239142</v>
      </c>
      <c r="M42" s="71">
        <f>SUMIFS('CHIRP Payment Calc'!AU:AU,'CHIRP Payment Calc'!H:H,A42)</f>
        <v>3152540.1341463411</v>
      </c>
      <c r="N42" s="71">
        <f>SUMIFS('CHIRP Payment Calc'!W:W,'CHIRP Payment Calc'!H:H,A42)</f>
        <v>475113.22293706489</v>
      </c>
      <c r="O42" s="71">
        <f>SUMIFS('CHIRP Payment Calc'!AF:AF,'CHIRP Payment Calc'!H:H,A42)</f>
        <v>2605125.6409057658</v>
      </c>
      <c r="P42" s="127">
        <f t="shared" si="5"/>
        <v>0.89373236708975745</v>
      </c>
      <c r="Q42" s="71">
        <f t="shared" si="6"/>
        <v>2605125.6409057658</v>
      </c>
      <c r="R42" s="132">
        <f t="shared" si="7"/>
        <v>1</v>
      </c>
    </row>
    <row r="43" spans="1:18">
      <c r="A43" s="24" t="s">
        <v>3023</v>
      </c>
      <c r="B43" s="109" t="s">
        <v>2718</v>
      </c>
      <c r="C43" s="109" t="s">
        <v>227</v>
      </c>
      <c r="D43" s="71">
        <f>SUMIFS('CHIRP Payment Calc'!AZ:AZ,'CHIRP Payment Calc'!H:H,A43)</f>
        <v>164232455.84604478</v>
      </c>
      <c r="E43" s="71">
        <f>SUMIFS('CHIRP Payment Calc'!AT:AT,'CHIRP Payment Calc'!H:H,A43)-SUMIFS('CHIRP Payment Calc'!BG:BG,'CHIRP Payment Calc'!H:H,A43)</f>
        <v>48900640.306266777</v>
      </c>
      <c r="F43" s="71">
        <f>SUMIFS('CHIRP Payment Calc'!BG:BG,'CHIRP Payment Calc'!H:H,A43)</f>
        <v>13199494.25</v>
      </c>
      <c r="G43" s="71">
        <f>SUMIFS('CHIRP Payment Calc'!V:V,'CHIRP Payment Calc'!H:H,A43)</f>
        <v>24420832.601435963</v>
      </c>
      <c r="H43" s="71">
        <f>SUMIFS('CHIRP Payment Calc'!AE:AE,'CHIRP Payment Calc'!H:H,A43)</f>
        <v>60118830.217232838</v>
      </c>
      <c r="I43" s="127">
        <f t="shared" si="2"/>
        <v>0.89287952627584788</v>
      </c>
      <c r="J43" s="71">
        <f t="shared" si="3"/>
        <v>60118830.217232838</v>
      </c>
      <c r="K43" s="127">
        <f t="shared" si="4"/>
        <v>1</v>
      </c>
      <c r="L43" s="71">
        <f>SUMIFS('CHIRP Payment Calc'!BA:BA,'CHIRP Payment Calc'!H:H,A43)</f>
        <v>89998329.819189399</v>
      </c>
      <c r="M43" s="71">
        <f>SUMIFS('CHIRP Payment Calc'!AU:AU,'CHIRP Payment Calc'!H:H,A43)</f>
        <v>16525516.002872922</v>
      </c>
      <c r="N43" s="71">
        <f>SUMIFS('CHIRP Payment Calc'!W:W,'CHIRP Payment Calc'!H:H,A43)</f>
        <v>43714964.327182546</v>
      </c>
      <c r="O43" s="71">
        <f>SUMIFS('CHIRP Payment Calc'!AF:AF,'CHIRP Payment Calc'!H:H,A43)</f>
        <v>21618782.615313213</v>
      </c>
      <c r="P43" s="127">
        <f t="shared" si="5"/>
        <v>0.90956424535685865</v>
      </c>
      <c r="Q43" s="71">
        <f t="shared" si="6"/>
        <v>20758016.507215001</v>
      </c>
      <c r="R43" s="132">
        <f t="shared" si="7"/>
        <v>0.96018433954331417</v>
      </c>
    </row>
    <row r="44" spans="1:18">
      <c r="A44" s="24" t="s">
        <v>3006</v>
      </c>
      <c r="B44" s="109" t="s">
        <v>1552</v>
      </c>
      <c r="C44" s="109" t="s">
        <v>300</v>
      </c>
      <c r="D44" s="71">
        <f>SUMIFS('CHIRP Payment Calc'!AZ:AZ,'CHIRP Payment Calc'!H:H,A44)</f>
        <v>617871576.76212788</v>
      </c>
      <c r="E44" s="71">
        <f>SUMIFS('CHIRP Payment Calc'!AT:AT,'CHIRP Payment Calc'!H:H,A44)-SUMIFS('CHIRP Payment Calc'!BG:BG,'CHIRP Payment Calc'!H:H,A44)</f>
        <v>289752295.22522521</v>
      </c>
      <c r="F44" s="71">
        <f>SUMIFS('CHIRP Payment Calc'!BG:BG,'CHIRP Payment Calc'!H:H,A44)</f>
        <v>0</v>
      </c>
      <c r="G44" s="71">
        <f>SUMIFS('CHIRP Payment Calc'!V:V,'CHIRP Payment Calc'!H:H,A44)</f>
        <v>282669492.35618746</v>
      </c>
      <c r="H44" s="71">
        <f>SUMIFS('CHIRP Payment Calc'!AE:AE,'CHIRP Payment Calc'!H:H,A44)</f>
        <v>31642107.353304565</v>
      </c>
      <c r="I44" s="127">
        <f t="shared" si="2"/>
        <v>0.97765282892641225</v>
      </c>
      <c r="J44" s="71">
        <f t="shared" si="3"/>
        <v>0</v>
      </c>
      <c r="K44" s="127">
        <f t="shared" si="4"/>
        <v>0</v>
      </c>
      <c r="L44" s="71">
        <f>SUMIFS('CHIRP Payment Calc'!BA:BA,'CHIRP Payment Calc'!H:H,A44)</f>
        <v>331686804.36746413</v>
      </c>
      <c r="M44" s="71">
        <f>SUMIFS('CHIRP Payment Calc'!AU:AU,'CHIRP Payment Calc'!H:H,A44)</f>
        <v>134891792.91891891</v>
      </c>
      <c r="N44" s="71">
        <f>SUMIFS('CHIRP Payment Calc'!W:W,'CHIRP Payment Calc'!H:H,A44)</f>
        <v>41157143.302515194</v>
      </c>
      <c r="O44" s="71">
        <f>SUMIFS('CHIRP Payment Calc'!AF:AF,'CHIRP Payment Calc'!H:H,A44)</f>
        <v>108654858.31864011</v>
      </c>
      <c r="P44" s="127">
        <f t="shared" si="5"/>
        <v>0.85835128437808128</v>
      </c>
      <c r="Q44" s="71">
        <f t="shared" si="6"/>
        <v>108654858.31864011</v>
      </c>
      <c r="R44" s="132">
        <f t="shared" si="7"/>
        <v>1</v>
      </c>
    </row>
    <row r="45" spans="1:18">
      <c r="A45" s="24" t="s">
        <v>3016</v>
      </c>
      <c r="B45" s="109" t="s">
        <v>2718</v>
      </c>
      <c r="C45" s="109" t="s">
        <v>1517</v>
      </c>
      <c r="D45" s="71">
        <f>SUMIFS('CHIRP Payment Calc'!AZ:AZ,'CHIRP Payment Calc'!H:H,A45)</f>
        <v>405991500.76012135</v>
      </c>
      <c r="E45" s="71">
        <f>SUMIFS('CHIRP Payment Calc'!AT:AT,'CHIRP Payment Calc'!H:H,A45)-SUMIFS('CHIRP Payment Calc'!BG:BG,'CHIRP Payment Calc'!H:H,A45)</f>
        <v>129744572.9408284</v>
      </c>
      <c r="F45" s="71">
        <f>SUMIFS('CHIRP Payment Calc'!BG:BG,'CHIRP Payment Calc'!H:H,A45)</f>
        <v>0</v>
      </c>
      <c r="G45" s="71">
        <f>SUMIFS('CHIRP Payment Calc'!V:V,'CHIRP Payment Calc'!H:H,A45)</f>
        <v>150791282.22915882</v>
      </c>
      <c r="H45" s="71">
        <f>SUMIFS('CHIRP Payment Calc'!AE:AE,'CHIRP Payment Calc'!H:H,A45)</f>
        <v>87547187.031345129</v>
      </c>
      <c r="I45" s="127">
        <f t="shared" si="2"/>
        <v>0.90662745774772491</v>
      </c>
      <c r="J45" s="71">
        <f t="shared" si="3"/>
        <v>84856495.514122009</v>
      </c>
      <c r="K45" s="127">
        <f t="shared" si="4"/>
        <v>0.96926581414592161</v>
      </c>
      <c r="L45" s="71">
        <f>SUMIFS('CHIRP Payment Calc'!BA:BA,'CHIRP Payment Calc'!H:H,A45)</f>
        <v>154051744.55962378</v>
      </c>
      <c r="M45" s="71">
        <f>SUMIFS('CHIRP Payment Calc'!AU:AU,'CHIRP Payment Calc'!H:H,A45)</f>
        <v>42995287.609467462</v>
      </c>
      <c r="N45" s="71">
        <f>SUMIFS('CHIRP Payment Calc'!W:W,'CHIRP Payment Calc'!H:H,A45)</f>
        <v>73829199.86885272</v>
      </c>
      <c r="O45" s="71">
        <f>SUMIFS('CHIRP Payment Calc'!AF:AF,'CHIRP Payment Calc'!H:H,A45)</f>
        <v>29728453.360510953</v>
      </c>
      <c r="P45" s="127">
        <f t="shared" si="5"/>
        <v>0.95132282505317334</v>
      </c>
      <c r="Q45" s="71">
        <f t="shared" si="6"/>
        <v>21822082.625341237</v>
      </c>
      <c r="R45" s="132">
        <f t="shared" si="7"/>
        <v>0.73404702090314777</v>
      </c>
    </row>
    <row r="46" spans="1:18">
      <c r="A46" s="24" t="s">
        <v>3015</v>
      </c>
      <c r="B46" s="109" t="s">
        <v>2718</v>
      </c>
      <c r="C46" s="109" t="s">
        <v>1489</v>
      </c>
      <c r="D46" s="71">
        <f>SUMIFS('CHIRP Payment Calc'!AZ:AZ,'CHIRP Payment Calc'!H:H,A46)</f>
        <v>200679282.02328843</v>
      </c>
      <c r="E46" s="71">
        <f>SUMIFS('CHIRP Payment Calc'!AT:AT,'CHIRP Payment Calc'!H:H,A46)-SUMIFS('CHIRP Payment Calc'!BG:BG,'CHIRP Payment Calc'!H:H,A46)</f>
        <v>72522764.710059181</v>
      </c>
      <c r="F46" s="71">
        <f>SUMIFS('CHIRP Payment Calc'!BG:BG,'CHIRP Payment Calc'!H:H,A46)</f>
        <v>0</v>
      </c>
      <c r="G46" s="71">
        <f>SUMIFS('CHIRP Payment Calc'!V:V,'CHIRP Payment Calc'!H:H,A46)</f>
        <v>61954891.244279042</v>
      </c>
      <c r="H46" s="71">
        <f>SUMIFS('CHIRP Payment Calc'!AE:AE,'CHIRP Payment Calc'!H:H,A46)</f>
        <v>46227289.940685324</v>
      </c>
      <c r="I46" s="127">
        <f t="shared" si="2"/>
        <v>0.900466376364916</v>
      </c>
      <c r="J46" s="71">
        <f t="shared" si="3"/>
        <v>46133697.866621375</v>
      </c>
      <c r="K46" s="127">
        <f t="shared" si="4"/>
        <v>0.99797539344867414</v>
      </c>
      <c r="L46" s="71">
        <f>SUMIFS('CHIRP Payment Calc'!BA:BA,'CHIRP Payment Calc'!H:H,A46)</f>
        <v>127270730.46754813</v>
      </c>
      <c r="M46" s="71">
        <f>SUMIFS('CHIRP Payment Calc'!AU:AU,'CHIRP Payment Calc'!H:H,A46)</f>
        <v>33191235.011834305</v>
      </c>
      <c r="N46" s="71">
        <f>SUMIFS('CHIRP Payment Calc'!W:W,'CHIRP Payment Calc'!H:H,A46)</f>
        <v>80745076.12992543</v>
      </c>
      <c r="O46" s="71">
        <f>SUMIFS('CHIRP Payment Calc'!AF:AF,'CHIRP Payment Calc'!H:H,A46)</f>
        <v>10968984.545238655</v>
      </c>
      <c r="P46" s="127">
        <f t="shared" si="5"/>
        <v>0.98141414941314509</v>
      </c>
      <c r="Q46" s="71">
        <f t="shared" si="6"/>
        <v>607346.27903358638</v>
      </c>
      <c r="R46" s="132">
        <f t="shared" si="7"/>
        <v>5.5369416970982903E-2</v>
      </c>
    </row>
    <row r="47" spans="1:18">
      <c r="A47" s="24" t="s">
        <v>3019</v>
      </c>
      <c r="B47" s="109" t="s">
        <v>2718</v>
      </c>
      <c r="C47" s="109" t="s">
        <v>1553</v>
      </c>
      <c r="D47" s="71">
        <f>SUMIFS('CHIRP Payment Calc'!AZ:AZ,'CHIRP Payment Calc'!H:H,A47)</f>
        <v>153689684.66236645</v>
      </c>
      <c r="E47" s="71">
        <f>SUMIFS('CHIRP Payment Calc'!AT:AT,'CHIRP Payment Calc'!H:H,A47)-SUMIFS('CHIRP Payment Calc'!BG:BG,'CHIRP Payment Calc'!H:H,A47)</f>
        <v>49884475.257980853</v>
      </c>
      <c r="F47" s="71">
        <f>SUMIFS('CHIRP Payment Calc'!BG:BG,'CHIRP Payment Calc'!H:H,A47)</f>
        <v>19989128.190000001</v>
      </c>
      <c r="G47" s="71">
        <f>SUMIFS('CHIRP Payment Calc'!V:V,'CHIRP Payment Calc'!H:H,A47)</f>
        <v>31194755.424062438</v>
      </c>
      <c r="H47" s="71">
        <f>SUMIFS('CHIRP Payment Calc'!AE:AE,'CHIRP Payment Calc'!H:H,A47)</f>
        <v>37112156.471694358</v>
      </c>
      <c r="I47" s="127">
        <f t="shared" si="2"/>
        <v>0.89908776667282408</v>
      </c>
      <c r="J47" s="71">
        <f t="shared" si="3"/>
        <v>37112156.471694358</v>
      </c>
      <c r="K47" s="127">
        <f t="shared" si="4"/>
        <v>1</v>
      </c>
      <c r="L47" s="71">
        <f>SUMIFS('CHIRP Payment Calc'!BA:BA,'CHIRP Payment Calc'!H:H,A47)</f>
        <v>51576854.321972579</v>
      </c>
      <c r="M47" s="71">
        <f>SUMIFS('CHIRP Payment Calc'!AU:AU,'CHIRP Payment Calc'!H:H,A47)</f>
        <v>12147493.43450946</v>
      </c>
      <c r="N47" s="71">
        <f>SUMIFS('CHIRP Payment Calc'!W:W,'CHIRP Payment Calc'!H:H,A47)</f>
        <v>26018898.054227713</v>
      </c>
      <c r="O47" s="71">
        <f>SUMIFS('CHIRP Payment Calc'!AF:AF,'CHIRP Payment Calc'!H:H,A47)</f>
        <v>9862236.0297324453</v>
      </c>
      <c r="P47" s="127">
        <f t="shared" si="5"/>
        <v>0.93120505602468739</v>
      </c>
      <c r="Q47" s="71">
        <f t="shared" si="6"/>
        <v>8252777.4010381512</v>
      </c>
      <c r="R47" s="132">
        <f t="shared" si="7"/>
        <v>0.83680591056205356</v>
      </c>
    </row>
    <row r="48" spans="1:18">
      <c r="A48" s="24" t="s">
        <v>3005</v>
      </c>
      <c r="B48" s="109" t="s">
        <v>1552</v>
      </c>
      <c r="C48" s="109" t="s">
        <v>1189</v>
      </c>
      <c r="D48" s="71">
        <f>SUMIFS('CHIRP Payment Calc'!AZ:AZ,'CHIRP Payment Calc'!H:H,A48)</f>
        <v>36268468.739340566</v>
      </c>
      <c r="E48" s="71">
        <f>SUMIFS('CHIRP Payment Calc'!AT:AT,'CHIRP Payment Calc'!H:H,A48)-SUMIFS('CHIRP Payment Calc'!BG:BG,'CHIRP Payment Calc'!H:H,A48)</f>
        <v>19569075.573248409</v>
      </c>
      <c r="F48" s="71">
        <f>SUMIFS('CHIRP Payment Calc'!BG:BG,'CHIRP Payment Calc'!H:H,A48)</f>
        <v>0</v>
      </c>
      <c r="G48" s="71">
        <f>SUMIFS('CHIRP Payment Calc'!V:V,'CHIRP Payment Calc'!H:H,A48)</f>
        <v>761217.09839456307</v>
      </c>
      <c r="H48" s="71">
        <f>SUMIFS('CHIRP Payment Calc'!AE:AE,'CHIRP Payment Calc'!H:H,A48)</f>
        <v>11164517.443120258</v>
      </c>
      <c r="I48" s="127">
        <f t="shared" si="2"/>
        <v>0.86837992364978656</v>
      </c>
      <c r="J48" s="71">
        <f t="shared" si="3"/>
        <v>11164517.443120258</v>
      </c>
      <c r="K48" s="127">
        <f t="shared" si="4"/>
        <v>1</v>
      </c>
      <c r="L48" s="71">
        <f>SUMIFS('CHIRP Payment Calc'!BA:BA,'CHIRP Payment Calc'!H:H,A48)</f>
        <v>17178274.236663744</v>
      </c>
      <c r="M48" s="71">
        <f>SUMIFS('CHIRP Payment Calc'!AU:AU,'CHIRP Payment Calc'!H:H,A48)</f>
        <v>2212158.2356687896</v>
      </c>
      <c r="N48" s="71">
        <f>SUMIFS('CHIRP Payment Calc'!W:W,'CHIRP Payment Calc'!H:H,A48)</f>
        <v>3516769.0201765615</v>
      </c>
      <c r="O48" s="71">
        <f>SUMIFS('CHIRP Payment Calc'!AF:AF,'CHIRP Payment Calc'!H:H,A48)</f>
        <v>7971343.1124002067</v>
      </c>
      <c r="P48" s="127">
        <f t="shared" si="5"/>
        <v>0.79753473366986705</v>
      </c>
      <c r="Q48" s="71">
        <f t="shared" si="6"/>
        <v>7971343.1124002067</v>
      </c>
      <c r="R48" s="132">
        <f t="shared" si="7"/>
        <v>1</v>
      </c>
    </row>
    <row r="49" spans="1:18">
      <c r="A49" s="24" t="s">
        <v>3025</v>
      </c>
      <c r="B49" s="109" t="s">
        <v>2916</v>
      </c>
      <c r="C49" s="109" t="s">
        <v>223</v>
      </c>
      <c r="D49" s="71">
        <f>SUMIFS('CHIRP Payment Calc'!AZ:AZ,'CHIRP Payment Calc'!H:H,A49)</f>
        <v>46749736.795808539</v>
      </c>
      <c r="E49" s="71">
        <f>SUMIFS('CHIRP Payment Calc'!AT:AT,'CHIRP Payment Calc'!H:H,A49)-SUMIFS('CHIRP Payment Calc'!BG:BG,'CHIRP Payment Calc'!H:H,A49)</f>
        <v>8951729.4779116474</v>
      </c>
      <c r="F49" s="71">
        <f>SUMIFS('CHIRP Payment Calc'!BG:BG,'CHIRP Payment Calc'!H:H,A49)</f>
        <v>0</v>
      </c>
      <c r="G49" s="71">
        <f>SUMIFS('CHIRP Payment Calc'!V:V,'CHIRP Payment Calc'!H:H,A49)</f>
        <v>17167695.79328192</v>
      </c>
      <c r="H49" s="71">
        <f>SUMIFS('CHIRP Payment Calc'!AE:AE,'CHIRP Payment Calc'!H:H,A49)</f>
        <v>14349118.871996829</v>
      </c>
      <c r="I49" s="127">
        <f t="shared" si="2"/>
        <v>0.86564218147253191</v>
      </c>
      <c r="J49" s="71">
        <f t="shared" si="3"/>
        <v>14349118.871996829</v>
      </c>
      <c r="K49" s="127">
        <f t="shared" si="4"/>
        <v>1</v>
      </c>
      <c r="L49" s="71">
        <f>SUMIFS('CHIRP Payment Calc'!BA:BA,'CHIRP Payment Calc'!H:H,A49)</f>
        <v>19409983.867498938</v>
      </c>
      <c r="M49" s="71">
        <f>SUMIFS('CHIRP Payment Calc'!AU:AU,'CHIRP Payment Calc'!H:H,A49)</f>
        <v>2882980.9959839354</v>
      </c>
      <c r="N49" s="71">
        <f>SUMIFS('CHIRP Payment Calc'!W:W,'CHIRP Payment Calc'!H:H,A49)</f>
        <v>9530385.6879129484</v>
      </c>
      <c r="O49" s="71">
        <f>SUMIFS('CHIRP Payment Calc'!AF:AF,'CHIRP Payment Calc'!H:H,A49)</f>
        <v>4874737.5070359334</v>
      </c>
      <c r="P49" s="127">
        <f t="shared" si="5"/>
        <v>0.89068101802397148</v>
      </c>
      <c r="Q49" s="71">
        <f t="shared" si="6"/>
        <v>4874737.5070359334</v>
      </c>
      <c r="R49" s="132">
        <f t="shared" si="7"/>
        <v>1</v>
      </c>
    </row>
    <row r="50" spans="1:18">
      <c r="A50" s="24" t="s">
        <v>3022</v>
      </c>
      <c r="B50" s="109" t="s">
        <v>2718</v>
      </c>
      <c r="C50" s="109" t="s">
        <v>310</v>
      </c>
      <c r="D50" s="71">
        <f>SUMIFS('CHIRP Payment Calc'!AZ:AZ,'CHIRP Payment Calc'!H:H,A50)</f>
        <v>200722898.57821178</v>
      </c>
      <c r="E50" s="71">
        <f>SUMIFS('CHIRP Payment Calc'!AT:AT,'CHIRP Payment Calc'!H:H,A50)-SUMIFS('CHIRP Payment Calc'!BG:BG,'CHIRP Payment Calc'!H:H,A50)</f>
        <v>60799807.081521742</v>
      </c>
      <c r="F50" s="71">
        <f>SUMIFS('CHIRP Payment Calc'!BG:BG,'CHIRP Payment Calc'!H:H,A50)</f>
        <v>0</v>
      </c>
      <c r="G50" s="71">
        <f>SUMIFS('CHIRP Payment Calc'!V:V,'CHIRP Payment Calc'!H:H,A50)</f>
        <v>50419461.687460497</v>
      </c>
      <c r="H50" s="71">
        <f>SUMIFS('CHIRP Payment Calc'!AE:AE,'CHIRP Payment Calc'!H:H,A50)</f>
        <v>62114664.227823749</v>
      </c>
      <c r="I50" s="127">
        <f t="shared" si="2"/>
        <v>0.8635483755196286</v>
      </c>
      <c r="J50" s="71">
        <f t="shared" si="3"/>
        <v>62114664.227823749</v>
      </c>
      <c r="K50" s="127">
        <f t="shared" si="4"/>
        <v>1</v>
      </c>
      <c r="L50" s="71">
        <f>SUMIFS('CHIRP Payment Calc'!BA:BA,'CHIRP Payment Calc'!H:H,A50)</f>
        <v>113236513.72871542</v>
      </c>
      <c r="M50" s="71">
        <f>SUMIFS('CHIRP Payment Calc'!AU:AU,'CHIRP Payment Calc'!H:H,A50)</f>
        <v>14952716.570734598</v>
      </c>
      <c r="N50" s="71">
        <f>SUMIFS('CHIRP Payment Calc'!W:W,'CHIRP Payment Calc'!H:H,A50)</f>
        <v>52395256.786371075</v>
      </c>
      <c r="O50" s="71">
        <f>SUMIFS('CHIRP Payment Calc'!AF:AF,'CHIRP Payment Calc'!H:H,A50)</f>
        <v>30780716.332382798</v>
      </c>
      <c r="P50" s="127">
        <f t="shared" si="5"/>
        <v>0.86658169223205439</v>
      </c>
      <c r="Q50" s="71">
        <f t="shared" si="6"/>
        <v>30780716.332382798</v>
      </c>
      <c r="R50" s="132">
        <f t="shared" si="7"/>
        <v>1</v>
      </c>
    </row>
    <row r="51" spans="1:18">
      <c r="A51" s="24" t="s">
        <v>3024</v>
      </c>
      <c r="B51" s="109" t="s">
        <v>2718</v>
      </c>
      <c r="C51" s="109" t="s">
        <v>1555</v>
      </c>
      <c r="D51" s="71">
        <f>SUMIFS('CHIRP Payment Calc'!AZ:AZ,'CHIRP Payment Calc'!H:H,A51)</f>
        <v>64648768.603007264</v>
      </c>
      <c r="E51" s="71">
        <f>SUMIFS('CHIRP Payment Calc'!AT:AT,'CHIRP Payment Calc'!H:H,A51)-SUMIFS('CHIRP Payment Calc'!BG:BG,'CHIRP Payment Calc'!H:H,A51)</f>
        <v>20589379.087336246</v>
      </c>
      <c r="F51" s="71">
        <f>SUMIFS('CHIRP Payment Calc'!BG:BG,'CHIRP Payment Calc'!H:H,A51)</f>
        <v>0</v>
      </c>
      <c r="G51" s="71">
        <f>SUMIFS('CHIRP Payment Calc'!V:V,'CHIRP Payment Calc'!H:H,A51)</f>
        <v>26585472.058403052</v>
      </c>
      <c r="H51" s="71">
        <f>SUMIFS('CHIRP Payment Calc'!AE:AE,'CHIRP Payment Calc'!H:H,A51)</f>
        <v>12615418.769715978</v>
      </c>
      <c r="I51" s="127">
        <f t="shared" si="2"/>
        <v>0.92484777680164543</v>
      </c>
      <c r="J51" s="71">
        <f t="shared" si="3"/>
        <v>11009040.596967243</v>
      </c>
      <c r="K51" s="127">
        <f t="shared" si="4"/>
        <v>0.87266548958287959</v>
      </c>
      <c r="L51" s="71">
        <f>SUMIFS('CHIRP Payment Calc'!BA:BA,'CHIRP Payment Calc'!H:H,A51)</f>
        <v>43408595.432698444</v>
      </c>
      <c r="M51" s="71">
        <f>SUMIFS('CHIRP Payment Calc'!AU:AU,'CHIRP Payment Calc'!H:H,A51)</f>
        <v>7733482.868995633</v>
      </c>
      <c r="N51" s="71">
        <f>SUMIFS('CHIRP Payment Calc'!W:W,'CHIRP Payment Calc'!H:H,A51)</f>
        <v>25472204.187689215</v>
      </c>
      <c r="O51" s="71">
        <f>SUMIFS('CHIRP Payment Calc'!AF:AF,'CHIRP Payment Calc'!H:H,A51)</f>
        <v>7094850.672826292</v>
      </c>
      <c r="P51" s="127">
        <f t="shared" si="5"/>
        <v>0.92839994770146161</v>
      </c>
      <c r="Q51" s="71">
        <f t="shared" si="6"/>
        <v>5862048.8327437527</v>
      </c>
      <c r="R51" s="132">
        <f t="shared" si="7"/>
        <v>0.82623991723966161</v>
      </c>
    </row>
    <row r="52" spans="1:18">
      <c r="A52" s="24" t="s">
        <v>3012</v>
      </c>
      <c r="B52" s="109" t="s">
        <v>2718</v>
      </c>
      <c r="C52" s="109" t="s">
        <v>223</v>
      </c>
      <c r="D52" s="71">
        <f>SUMIFS('CHIRP Payment Calc'!AZ:AZ,'CHIRP Payment Calc'!H:H,A52)</f>
        <v>835531608.85862291</v>
      </c>
      <c r="E52" s="71">
        <f>SUMIFS('CHIRP Payment Calc'!AT:AT,'CHIRP Payment Calc'!H:H,A52)-SUMIFS('CHIRP Payment Calc'!BG:BG,'CHIRP Payment Calc'!H:H,A52)</f>
        <v>226828577.32187292</v>
      </c>
      <c r="F52" s="71">
        <f>SUMIFS('CHIRP Payment Calc'!BG:BG,'CHIRP Payment Calc'!H:H,A52)</f>
        <v>62213939.020000003</v>
      </c>
      <c r="G52" s="71">
        <f>SUMIFS('CHIRP Payment Calc'!V:V,'CHIRP Payment Calc'!H:H,A52)</f>
        <v>271825379.92707014</v>
      </c>
      <c r="H52" s="71">
        <f>SUMIFS('CHIRP Payment Calc'!AE:AE,'CHIRP Payment Calc'!H:H,A52)</f>
        <v>197825835.36313626</v>
      </c>
      <c r="I52" s="127">
        <f t="shared" si="2"/>
        <v>0.90803713897609706</v>
      </c>
      <c r="J52" s="71">
        <f t="shared" si="3"/>
        <v>191110551.70381761</v>
      </c>
      <c r="K52" s="127">
        <f t="shared" si="4"/>
        <v>0.9660545669022863</v>
      </c>
      <c r="L52" s="71">
        <f>SUMIFS('CHIRP Payment Calc'!BA:BA,'CHIRP Payment Calc'!H:H,A52)</f>
        <v>319835062.50083363</v>
      </c>
      <c r="M52" s="71">
        <f>SUMIFS('CHIRP Payment Calc'!AU:AU,'CHIRP Payment Calc'!H:H,A52)</f>
        <v>60391319.767151304</v>
      </c>
      <c r="N52" s="71">
        <f>SUMIFS('CHIRP Payment Calc'!W:W,'CHIRP Payment Calc'!H:H,A52)</f>
        <v>105753549.73250322</v>
      </c>
      <c r="O52" s="71">
        <f>SUMIFS('CHIRP Payment Calc'!AF:AF,'CHIRP Payment Calc'!H:H,A52)</f>
        <v>110535930.29624423</v>
      </c>
      <c r="P52" s="127">
        <f t="shared" si="5"/>
        <v>0.8650733838638397</v>
      </c>
      <c r="Q52" s="71">
        <f t="shared" si="6"/>
        <v>110535930.29624423</v>
      </c>
      <c r="R52" s="132">
        <f t="shared" si="7"/>
        <v>1</v>
      </c>
    </row>
    <row r="53" spans="1:18">
      <c r="A53" s="24" t="s">
        <v>3007</v>
      </c>
      <c r="B53" s="109" t="s">
        <v>1552</v>
      </c>
      <c r="C53" s="109" t="s">
        <v>1530</v>
      </c>
      <c r="D53" s="71">
        <f>SUMIFS('CHIRP Payment Calc'!AZ:AZ,'CHIRP Payment Calc'!H:H,A53)</f>
        <v>39727990.608267814</v>
      </c>
      <c r="E53" s="71">
        <f>SUMIFS('CHIRP Payment Calc'!AT:AT,'CHIRP Payment Calc'!H:H,A53)-SUMIFS('CHIRP Payment Calc'!BG:BG,'CHIRP Payment Calc'!H:H,A53)</f>
        <v>22115185.822033897</v>
      </c>
      <c r="F53" s="71">
        <f>SUMIFS('CHIRP Payment Calc'!BG:BG,'CHIRP Payment Calc'!H:H,A53)</f>
        <v>0</v>
      </c>
      <c r="G53" s="71">
        <f>SUMIFS('CHIRP Payment Calc'!V:V,'CHIRP Payment Calc'!H:H,A53)</f>
        <v>20858612.080871496</v>
      </c>
      <c r="H53" s="71">
        <f>SUMIFS('CHIRP Payment Calc'!AE:AE,'CHIRP Payment Calc'!H:H,A53)</f>
        <v>0</v>
      </c>
      <c r="I53" s="127">
        <f t="shared" si="2"/>
        <v>1.081700766762719</v>
      </c>
      <c r="J53" s="71">
        <f t="shared" si="3"/>
        <v>0</v>
      </c>
      <c r="K53" s="127">
        <f t="shared" si="4"/>
        <v>0</v>
      </c>
      <c r="L53" s="71">
        <f>SUMIFS('CHIRP Payment Calc'!BA:BA,'CHIRP Payment Calc'!H:H,A53)</f>
        <v>34486763.036808565</v>
      </c>
      <c r="M53" s="71">
        <f>SUMIFS('CHIRP Payment Calc'!AU:AU,'CHIRP Payment Calc'!H:H,A53)</f>
        <v>5244843.9576271186</v>
      </c>
      <c r="N53" s="71">
        <f>SUMIFS('CHIRP Payment Calc'!W:W,'CHIRP Payment Calc'!H:H,A53)</f>
        <v>12240194.851062246</v>
      </c>
      <c r="O53" s="71">
        <f>SUMIFS('CHIRP Payment Calc'!AF:AF,'CHIRP Payment Calc'!H:H,A53)</f>
        <v>11850379.728416951</v>
      </c>
      <c r="P53" s="127">
        <f t="shared" si="5"/>
        <v>0.85062835574901319</v>
      </c>
      <c r="Q53" s="71">
        <f t="shared" si="6"/>
        <v>11850379.728416951</v>
      </c>
      <c r="R53" s="132">
        <f t="shared" si="7"/>
        <v>1</v>
      </c>
    </row>
    <row r="54" spans="1:18">
      <c r="A54" s="24" t="s">
        <v>3017</v>
      </c>
      <c r="B54" s="109" t="s">
        <v>2718</v>
      </c>
      <c r="C54" s="109" t="s">
        <v>1366</v>
      </c>
      <c r="D54" s="71">
        <f>SUMIFS('CHIRP Payment Calc'!AZ:AZ,'CHIRP Payment Calc'!H:H,A54)</f>
        <v>581735661.21746552</v>
      </c>
      <c r="E54" s="71">
        <f>SUMIFS('CHIRP Payment Calc'!AT:AT,'CHIRP Payment Calc'!H:H,A54)-SUMIFS('CHIRP Payment Calc'!BG:BG,'CHIRP Payment Calc'!H:H,A54)</f>
        <v>139691431.91680244</v>
      </c>
      <c r="F54" s="71">
        <f>SUMIFS('CHIRP Payment Calc'!BG:BG,'CHIRP Payment Calc'!H:H,A54)</f>
        <v>0</v>
      </c>
      <c r="G54" s="71">
        <f>SUMIFS('CHIRP Payment Calc'!V:V,'CHIRP Payment Calc'!H:H,A54)</f>
        <v>231005789.37562028</v>
      </c>
      <c r="H54" s="71">
        <f>SUMIFS('CHIRP Payment Calc'!AE:AE,'CHIRP Payment Calc'!H:H,A54)</f>
        <v>145984227.63088948</v>
      </c>
      <c r="I54" s="127">
        <f t="shared" si="2"/>
        <v>0.88817221182898287</v>
      </c>
      <c r="J54" s="71">
        <f t="shared" si="3"/>
        <v>145984227.63088948</v>
      </c>
      <c r="K54" s="127">
        <f t="shared" si="4"/>
        <v>1</v>
      </c>
      <c r="L54" s="71">
        <f>SUMIFS('CHIRP Payment Calc'!BA:BA,'CHIRP Payment Calc'!H:H,A54)</f>
        <v>193405928.16493109</v>
      </c>
      <c r="M54" s="71">
        <f>SUMIFS('CHIRP Payment Calc'!AU:AU,'CHIRP Payment Calc'!H:H,A54)</f>
        <v>37777764.96705094</v>
      </c>
      <c r="N54" s="71">
        <f>SUMIFS('CHIRP Payment Calc'!W:W,'CHIRP Payment Calc'!H:H,A54)</f>
        <v>91045783.057236448</v>
      </c>
      <c r="O54" s="71">
        <f>SUMIFS('CHIRP Payment Calc'!AF:AF,'CHIRP Payment Calc'!H:H,A54)</f>
        <v>55479594.585160896</v>
      </c>
      <c r="P54" s="127">
        <f t="shared" si="5"/>
        <v>0.95293429916108774</v>
      </c>
      <c r="Q54" s="71">
        <f t="shared" si="6"/>
        <v>45241787.324150607</v>
      </c>
      <c r="R54" s="132">
        <f t="shared" si="7"/>
        <v>0.81546715801437042</v>
      </c>
    </row>
    <row r="55" spans="1:18">
      <c r="A55" s="24" t="s">
        <v>3008</v>
      </c>
      <c r="B55" s="109" t="s">
        <v>1552</v>
      </c>
      <c r="C55" s="109" t="s">
        <v>1553</v>
      </c>
      <c r="D55" s="71">
        <f>SUMIFS('CHIRP Payment Calc'!AZ:AZ,'CHIRP Payment Calc'!H:H,A55)</f>
        <v>191617872.72360075</v>
      </c>
      <c r="E55" s="71">
        <f>SUMIFS('CHIRP Payment Calc'!AT:AT,'CHIRP Payment Calc'!H:H,A55)-SUMIFS('CHIRP Payment Calc'!BG:BG,'CHIRP Payment Calc'!H:H,A55)</f>
        <v>69108279.49000001</v>
      </c>
      <c r="F55" s="71">
        <f>SUMIFS('CHIRP Payment Calc'!BG:BG,'CHIRP Payment Calc'!H:H,A55)</f>
        <v>0</v>
      </c>
      <c r="G55" s="71">
        <f>SUMIFS('CHIRP Payment Calc'!V:V,'CHIRP Payment Calc'!H:H,A55)</f>
        <v>200366740.62245715</v>
      </c>
      <c r="H55" s="71">
        <f>SUMIFS('CHIRP Payment Calc'!AE:AE,'CHIRP Payment Calc'!H:H,A55)</f>
        <v>0</v>
      </c>
      <c r="I55" s="127">
        <f t="shared" si="2"/>
        <v>1.4063146421689039</v>
      </c>
      <c r="J55" s="71">
        <f t="shared" si="3"/>
        <v>0</v>
      </c>
      <c r="K55" s="127">
        <f t="shared" si="4"/>
        <v>0</v>
      </c>
      <c r="L55" s="71">
        <f>SUMIFS('CHIRP Payment Calc'!BA:BA,'CHIRP Payment Calc'!H:H,A55)</f>
        <v>95851578.386995032</v>
      </c>
      <c r="M55" s="71">
        <f>SUMIFS('CHIRP Payment Calc'!AU:AU,'CHIRP Payment Calc'!H:H,A55)</f>
        <v>42369101.760000005</v>
      </c>
      <c r="N55" s="71">
        <f>SUMIFS('CHIRP Payment Calc'!W:W,'CHIRP Payment Calc'!H:H,A55)</f>
        <v>50764263.262819298</v>
      </c>
      <c r="O55" s="71">
        <f>SUMIFS('CHIRP Payment Calc'!AF:AF,'CHIRP Payment Calc'!H:H,A55)</f>
        <v>1637556.8794457838</v>
      </c>
      <c r="P55" s="127">
        <f t="shared" si="5"/>
        <v>0.98872573093823402</v>
      </c>
      <c r="Q55" s="71">
        <f t="shared" si="6"/>
        <v>0</v>
      </c>
      <c r="R55" s="132">
        <f t="shared" si="7"/>
        <v>0</v>
      </c>
    </row>
    <row r="56" spans="1:18">
      <c r="A56" s="24" t="s">
        <v>3021</v>
      </c>
      <c r="B56" s="109" t="s">
        <v>2718</v>
      </c>
      <c r="C56" s="109" t="s">
        <v>1202</v>
      </c>
      <c r="D56" s="71">
        <f>SUMIFS('CHIRP Payment Calc'!AZ:AZ,'CHIRP Payment Calc'!H:H,A56)</f>
        <v>312187464.44120336</v>
      </c>
      <c r="E56" s="71">
        <f>SUMIFS('CHIRP Payment Calc'!AT:AT,'CHIRP Payment Calc'!H:H,A56)-SUMIFS('CHIRP Payment Calc'!BG:BG,'CHIRP Payment Calc'!H:H,A56)</f>
        <v>98069024.825995415</v>
      </c>
      <c r="F56" s="71">
        <f>SUMIFS('CHIRP Payment Calc'!BG:BG,'CHIRP Payment Calc'!H:H,A56)</f>
        <v>0</v>
      </c>
      <c r="G56" s="71">
        <f>SUMIFS('CHIRP Payment Calc'!V:V,'CHIRP Payment Calc'!H:H,A56)</f>
        <v>65843684.296464734</v>
      </c>
      <c r="H56" s="71">
        <f>SUMIFS('CHIRP Payment Calc'!AE:AE,'CHIRP Payment Calc'!H:H,A56)</f>
        <v>103500446.65047574</v>
      </c>
      <c r="I56" s="127">
        <f t="shared" si="2"/>
        <v>0.85657877471662491</v>
      </c>
      <c r="J56" s="71">
        <f t="shared" si="3"/>
        <v>103500446.65047574</v>
      </c>
      <c r="K56" s="127">
        <f t="shared" si="4"/>
        <v>1</v>
      </c>
      <c r="L56" s="71">
        <f>SUMIFS('CHIRP Payment Calc'!BA:BA,'CHIRP Payment Calc'!H:H,A56)</f>
        <v>83373554.94197242</v>
      </c>
      <c r="M56" s="71">
        <f>SUMIFS('CHIRP Payment Calc'!AU:AU,'CHIRP Payment Calc'!H:H,A56)</f>
        <v>19492456.833901033</v>
      </c>
      <c r="N56" s="71">
        <f>SUMIFS('CHIRP Payment Calc'!W:W,'CHIRP Payment Calc'!H:H,A56)</f>
        <v>48416665.55082389</v>
      </c>
      <c r="O56" s="71">
        <f>SUMIFS('CHIRP Payment Calc'!AF:AF,'CHIRP Payment Calc'!H:H,A56)</f>
        <v>13738515.647714324</v>
      </c>
      <c r="P56" s="127">
        <f t="shared" si="5"/>
        <v>0.97929898862133902</v>
      </c>
      <c r="Q56" s="71">
        <f t="shared" si="6"/>
        <v>7127077.0630502626</v>
      </c>
      <c r="R56" s="132">
        <f>IFERROR(Q56/O56,0)</f>
        <v>0.51876616410419807</v>
      </c>
    </row>
    <row r="57" spans="1:18">
      <c r="A57" s="24" t="s">
        <v>3030</v>
      </c>
      <c r="B57" s="109" t="s">
        <v>2768</v>
      </c>
      <c r="C57" s="109" t="s">
        <v>1366</v>
      </c>
      <c r="D57" s="71">
        <f>SUMIFS('CHIRP Payment Calc'!AZ:AZ,'CHIRP Payment Calc'!H:H,A57)</f>
        <v>15258484.398184691</v>
      </c>
      <c r="E57" s="71">
        <f>SUMIFS('CHIRP Payment Calc'!AT:AT,'CHIRP Payment Calc'!H:H,A57)-SUMIFS('CHIRP Payment Calc'!BG:BG,'CHIRP Payment Calc'!H:H,A57)</f>
        <v>7200396.3111596061</v>
      </c>
      <c r="F57" s="71">
        <f>SUMIFS('CHIRP Payment Calc'!BG:BG,'CHIRP Payment Calc'!H:H,A57)</f>
        <v>0</v>
      </c>
      <c r="G57" s="71">
        <f>SUMIFS('CHIRP Payment Calc'!V:V,'CHIRP Payment Calc'!H:H,A57)</f>
        <v>0</v>
      </c>
      <c r="H57" s="71">
        <f>SUMIFS('CHIRP Payment Calc'!AE:AE,'CHIRP Payment Calc'!H:H,A57)</f>
        <v>5625608.9904550929</v>
      </c>
      <c r="I57" s="127">
        <f t="shared" si="2"/>
        <v>0.84058186690813241</v>
      </c>
      <c r="J57" s="71">
        <f t="shared" si="3"/>
        <v>5625608.9904550929</v>
      </c>
      <c r="K57" s="127">
        <f t="shared" si="4"/>
        <v>1</v>
      </c>
      <c r="L57" s="71">
        <f>SUMIFS('CHIRP Payment Calc'!BA:BA,'CHIRP Payment Calc'!H:H,A57)</f>
        <v>14765765.800544634</v>
      </c>
      <c r="M57" s="71">
        <f>SUMIFS('CHIRP Payment Calc'!AU:AU,'CHIRP Payment Calc'!H:H,A57)</f>
        <v>2598439.068496732</v>
      </c>
      <c r="N57" s="71">
        <f>SUMIFS('CHIRP Payment Calc'!W:W,'CHIRP Payment Calc'!H:H,A57)</f>
        <v>4114080.1675167689</v>
      </c>
      <c r="O57" s="71">
        <f>SUMIFS('CHIRP Payment Calc'!AF:AF,'CHIRP Payment Calc'!H:H,A57)</f>
        <v>5620187.1241624337</v>
      </c>
      <c r="P57" s="127">
        <f t="shared" si="5"/>
        <v>0.83522294249858975</v>
      </c>
      <c r="Q57" s="71">
        <f t="shared" si="6"/>
        <v>5620187.1241624337</v>
      </c>
      <c r="R57" s="132">
        <f t="shared" si="7"/>
        <v>1</v>
      </c>
    </row>
    <row r="58" spans="1:18">
      <c r="A58" s="24" t="s">
        <v>3009</v>
      </c>
      <c r="B58" s="109" t="s">
        <v>1552</v>
      </c>
      <c r="C58" s="109" t="s">
        <v>1366</v>
      </c>
      <c r="D58" s="71">
        <f>SUMIFS('CHIRP Payment Calc'!AZ:AZ,'CHIRP Payment Calc'!H:H,A58)</f>
        <v>444954326.38576466</v>
      </c>
      <c r="E58" s="71">
        <f>SUMIFS('CHIRP Payment Calc'!AT:AT,'CHIRP Payment Calc'!H:H,A58)-SUMIFS('CHIRP Payment Calc'!BG:BG,'CHIRP Payment Calc'!H:H,A58)</f>
        <v>126777963.85620916</v>
      </c>
      <c r="F58" s="71">
        <f>SUMIFS('CHIRP Payment Calc'!BG:BG,'CHIRP Payment Calc'!H:H,A58)</f>
        <v>0</v>
      </c>
      <c r="G58" s="71">
        <f>SUMIFS('CHIRP Payment Calc'!V:V,'CHIRP Payment Calc'!H:H,A58)</f>
        <v>90316211.093102902</v>
      </c>
      <c r="H58" s="71">
        <f>SUMIFS('CHIRP Payment Calc'!AE:AE,'CHIRP Payment Calc'!H:H,A58)</f>
        <v>158604078.01715633</v>
      </c>
      <c r="I58" s="127">
        <f t="shared" si="2"/>
        <v>0.84435239908364679</v>
      </c>
      <c r="J58" s="71">
        <f t="shared" si="3"/>
        <v>158604078.01715633</v>
      </c>
      <c r="K58" s="127">
        <f t="shared" si="4"/>
        <v>1</v>
      </c>
      <c r="L58" s="71">
        <f>SUMIFS('CHIRP Payment Calc'!BA:BA,'CHIRP Payment Calc'!H:H,A58)</f>
        <v>182623029.6460512</v>
      </c>
      <c r="M58" s="71">
        <f>SUMIFS('CHIRP Payment Calc'!AU:AU,'CHIRP Payment Calc'!H:H,A58)</f>
        <v>68667132.045751616</v>
      </c>
      <c r="N58" s="71">
        <f>SUMIFS('CHIRP Payment Calc'!W:W,'CHIRP Payment Calc'!H:H,A58)</f>
        <v>8942422.8465697095</v>
      </c>
      <c r="O58" s="71">
        <f>SUMIFS('CHIRP Payment Calc'!AF:AF,'CHIRP Payment Calc'!H:H,A58)</f>
        <v>73526587.849573165</v>
      </c>
      <c r="P58" s="127">
        <f t="shared" si="5"/>
        <v>0.82758534361639557</v>
      </c>
      <c r="Q58" s="71">
        <f t="shared" si="6"/>
        <v>73526587.849573165</v>
      </c>
      <c r="R58" s="132">
        <f t="shared" si="7"/>
        <v>1</v>
      </c>
    </row>
    <row r="59" spans="1:18">
      <c r="A59" s="24" t="s">
        <v>3039</v>
      </c>
      <c r="B59" s="109" t="s">
        <v>2768</v>
      </c>
      <c r="C59" s="109" t="s">
        <v>223</v>
      </c>
      <c r="D59" s="71">
        <f>SUMIFS('CHIRP Payment Calc'!AZ:AZ,'CHIRP Payment Calc'!H:H,A59)</f>
        <v>9660728.3660705909</v>
      </c>
      <c r="E59" s="71">
        <f>SUMIFS('CHIRP Payment Calc'!AT:AT,'CHIRP Payment Calc'!H:H,A59)-SUMIFS('CHIRP Payment Calc'!BG:BG,'CHIRP Payment Calc'!H:H,A59)</f>
        <v>3957441.2720002369</v>
      </c>
      <c r="F59" s="71">
        <f>SUMIFS('CHIRP Payment Calc'!BG:BG,'CHIRP Payment Calc'!H:H,A59)</f>
        <v>0</v>
      </c>
      <c r="G59" s="71">
        <f>SUMIFS('CHIRP Payment Calc'!V:V,'CHIRP Payment Calc'!H:H,A59)</f>
        <v>0</v>
      </c>
      <c r="H59" s="71">
        <f>SUMIFS('CHIRP Payment Calc'!AE:AE,'CHIRP Payment Calc'!H:H,A59)</f>
        <v>3957578.2876906367</v>
      </c>
      <c r="I59" s="127">
        <f t="shared" si="2"/>
        <v>0.81929842758949578</v>
      </c>
      <c r="J59" s="71">
        <f t="shared" si="3"/>
        <v>3957578.2876906367</v>
      </c>
      <c r="K59" s="127">
        <f t="shared" si="4"/>
        <v>1</v>
      </c>
      <c r="L59" s="71">
        <f>SUMIFS('CHIRP Payment Calc'!BA:BA,'CHIRP Payment Calc'!H:H,A59)</f>
        <v>4565910.5579684926</v>
      </c>
      <c r="M59" s="71">
        <f>SUMIFS('CHIRP Payment Calc'!AU:AU,'CHIRP Payment Calc'!H:H,A59)</f>
        <v>609423.45693251537</v>
      </c>
      <c r="N59" s="71">
        <f>SUMIFS('CHIRP Payment Calc'!W:W,'CHIRP Payment Calc'!H:H,A59)</f>
        <v>1689919.6825687208</v>
      </c>
      <c r="O59" s="71">
        <f>SUMIFS('CHIRP Payment Calc'!AF:AF,'CHIRP Payment Calc'!H:H,A59)</f>
        <v>1573944.802392436</v>
      </c>
      <c r="P59" s="127">
        <f t="shared" si="5"/>
        <v>0.84830569778331621</v>
      </c>
      <c r="Q59" s="71">
        <f t="shared" si="6"/>
        <v>1573944.802392436</v>
      </c>
      <c r="R59" s="132">
        <f t="shared" si="7"/>
        <v>1</v>
      </c>
    </row>
    <row r="60" spans="1:18" ht="15.75" thickBot="1">
      <c r="A60" s="25" t="s">
        <v>3010</v>
      </c>
      <c r="B60" s="110" t="s">
        <v>1552</v>
      </c>
      <c r="C60" s="110" t="s">
        <v>1202</v>
      </c>
      <c r="D60" s="71">
        <f>SUMIFS('CHIRP Payment Calc'!AZ:AZ,'CHIRP Payment Calc'!H:H,A60)</f>
        <v>193114765.13979298</v>
      </c>
      <c r="E60" s="71">
        <f>SUMIFS('CHIRP Payment Calc'!AT:AT,'CHIRP Payment Calc'!H:H,A60)-SUMIFS('CHIRP Payment Calc'!BG:BG,'CHIRP Payment Calc'!H:H,A60)</f>
        <v>54464620.194690272</v>
      </c>
      <c r="F60" s="71">
        <f>SUMIFS('CHIRP Payment Calc'!BG:BG,'CHIRP Payment Calc'!H:H,A60)</f>
        <v>0</v>
      </c>
      <c r="G60" s="71">
        <f>SUMIFS('CHIRP Payment Calc'!V:V,'CHIRP Payment Calc'!H:H,A60)</f>
        <v>0</v>
      </c>
      <c r="H60" s="71">
        <f>SUMIFS('CHIRP Payment Calc'!AE:AE,'CHIRP Payment Calc'!H:H,A60)</f>
        <v>96524062.73306191</v>
      </c>
      <c r="I60" s="127">
        <f t="shared" si="2"/>
        <v>0.78185985840312977</v>
      </c>
      <c r="J60" s="71">
        <f t="shared" si="3"/>
        <v>96524062.73306191</v>
      </c>
      <c r="K60" s="127">
        <f t="shared" si="4"/>
        <v>1</v>
      </c>
      <c r="L60" s="71">
        <f>SUMIFS('CHIRP Payment Calc'!BA:BA,'CHIRP Payment Calc'!H:H,A60)</f>
        <v>59120316.078777641</v>
      </c>
      <c r="M60" s="71">
        <f>SUMIFS('CHIRP Payment Calc'!AU:AU,'CHIRP Payment Calc'!H:H,A60)</f>
        <v>10213656.778761063</v>
      </c>
      <c r="N60" s="71">
        <f>SUMIFS('CHIRP Payment Calc'!W:W,'CHIRP Payment Calc'!H:H,A60)</f>
        <v>8548091.5705725346</v>
      </c>
      <c r="O60" s="71">
        <f>SUMIFS('CHIRP Payment Calc'!AF:AF,'CHIRP Payment Calc'!H:H,A60)</f>
        <v>28185599.232698627</v>
      </c>
      <c r="P60" s="133">
        <f t="shared" si="5"/>
        <v>0.79409838606875893</v>
      </c>
      <c r="Q60" s="71">
        <f t="shared" si="6"/>
        <v>28185599.232698627</v>
      </c>
      <c r="R60" s="134">
        <f t="shared" si="7"/>
        <v>1</v>
      </c>
    </row>
    <row r="62" spans="1:18">
      <c r="D62" s="91"/>
    </row>
  </sheetData>
  <autoFilter ref="A3:R60" xr:uid="{04DB4F5B-FD5F-4D83-924F-5F2B36BFB262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26E11-CE10-4728-B6D9-EFBCCE6243BC}">
  <sheetPr>
    <tabColor rgb="FF7030A0"/>
    <pageSetUpPr fitToPage="1"/>
  </sheetPr>
  <dimension ref="A1:BG398"/>
  <sheetViews>
    <sheetView tabSelected="1" zoomScale="90" zoomScaleNormal="90" workbookViewId="0">
      <selection activeCell="B24" sqref="B24"/>
    </sheetView>
  </sheetViews>
  <sheetFormatPr defaultColWidth="8.796875" defaultRowHeight="15"/>
  <cols>
    <col min="1" max="1" width="10.09765625" style="36" bestFit="1" customWidth="1"/>
    <col min="2" max="2" width="10.8984375" style="36" customWidth="1"/>
    <col min="3" max="3" width="11.3984375" style="36" customWidth="1"/>
    <col min="4" max="4" width="11.8984375" style="35" customWidth="1"/>
    <col min="5" max="5" width="49.19921875" style="35" customWidth="1"/>
    <col min="6" max="7" width="11.8984375" style="35" customWidth="1"/>
    <col min="8" max="8" width="17.3984375" style="37" customWidth="1"/>
    <col min="9" max="9" width="14.3984375" style="38" hidden="1" customWidth="1"/>
    <col min="10" max="10" width="12.3984375" style="38" hidden="1" customWidth="1"/>
    <col min="11" max="11" width="13.796875" style="38" hidden="1" customWidth="1"/>
    <col min="12" max="12" width="15.5" style="39" hidden="1" customWidth="1"/>
    <col min="13" max="13" width="13.59765625" style="39" hidden="1" customWidth="1"/>
    <col min="14" max="14" width="14.8984375" style="39" hidden="1" customWidth="1"/>
    <col min="15" max="15" width="15" style="39" hidden="1" customWidth="1"/>
    <col min="16" max="17" width="14.3984375" style="39" hidden="1" customWidth="1"/>
    <col min="18" max="21" width="16.3984375" style="39" hidden="1" customWidth="1"/>
    <col min="22" max="23" width="13.59765625" style="41" hidden="1" customWidth="1"/>
    <col min="24" max="25" width="15.59765625" style="40" hidden="1" customWidth="1"/>
    <col min="26" max="35" width="13.59765625" style="41" hidden="1" customWidth="1"/>
    <col min="36" max="36" width="16.09765625" style="41" hidden="1" customWidth="1"/>
    <col min="37" max="37" width="13.59765625" style="41" hidden="1" customWidth="1"/>
    <col min="38" max="45" width="13.59765625" style="41" customWidth="1"/>
    <col min="46" max="46" width="15.69921875" style="36" hidden="1" customWidth="1"/>
    <col min="47" max="47" width="14.3984375" style="36" hidden="1" customWidth="1"/>
    <col min="48" max="49" width="15.69921875" style="36" hidden="1" customWidth="1"/>
    <col min="50" max="50" width="14.59765625" style="36" hidden="1" customWidth="1"/>
    <col min="51" max="52" width="15.69921875" style="36" hidden="1" customWidth="1"/>
    <col min="53" max="53" width="14.69921875" style="36" hidden="1" customWidth="1"/>
    <col min="54" max="54" width="15.69921875" style="36" hidden="1" customWidth="1"/>
    <col min="55" max="55" width="13.296875" style="36" hidden="1" customWidth="1"/>
    <col min="56" max="57" width="15.69921875" style="36" hidden="1" customWidth="1"/>
    <col min="58" max="58" width="14.8984375" style="36" hidden="1" customWidth="1"/>
    <col min="59" max="59" width="15.09765625" style="36" hidden="1" customWidth="1"/>
    <col min="60" max="16384" width="8.796875" style="36"/>
  </cols>
  <sheetData>
    <row r="1" spans="1:59" ht="19.5">
      <c r="A1" s="30" t="s">
        <v>3430</v>
      </c>
      <c r="O1" s="38"/>
      <c r="P1" s="38"/>
      <c r="AP1" s="122"/>
      <c r="AQ1" s="41" t="s">
        <v>3175</v>
      </c>
    </row>
    <row r="2" spans="1:59" ht="19.5">
      <c r="A2" s="30"/>
      <c r="O2" s="38"/>
      <c r="P2" s="38"/>
      <c r="AP2" s="122"/>
    </row>
    <row r="3" spans="1:59" ht="77.25" thickBot="1">
      <c r="A3" s="138" t="s">
        <v>3243</v>
      </c>
      <c r="B3" s="138" t="s">
        <v>3244</v>
      </c>
      <c r="C3" s="138" t="s">
        <v>3244</v>
      </c>
      <c r="D3" s="138" t="s">
        <v>3244</v>
      </c>
      <c r="E3" s="138" t="s">
        <v>3244</v>
      </c>
      <c r="F3" s="35" t="s">
        <v>3245</v>
      </c>
      <c r="G3" s="35" t="s">
        <v>3245</v>
      </c>
      <c r="I3" s="35" t="s">
        <v>3246</v>
      </c>
      <c r="J3" s="35" t="s">
        <v>3246</v>
      </c>
      <c r="L3" s="35" t="s">
        <v>3247</v>
      </c>
      <c r="M3" s="35" t="s">
        <v>3248</v>
      </c>
      <c r="O3" s="35" t="s">
        <v>3289</v>
      </c>
      <c r="P3" s="35" t="s">
        <v>3290</v>
      </c>
      <c r="R3" s="90" t="s">
        <v>3176</v>
      </c>
      <c r="S3" s="90"/>
      <c r="AI3" s="41" t="s">
        <v>3228</v>
      </c>
      <c r="AJ3" s="130">
        <f>AE4-AJ4</f>
        <v>311096863.09821463</v>
      </c>
      <c r="AK3" s="130">
        <f>AF4-AK4</f>
        <v>80448307.06779635</v>
      </c>
      <c r="AP3" s="178"/>
      <c r="AQ3" s="89">
        <v>0.39290000000000003</v>
      </c>
      <c r="AR3" s="89"/>
      <c r="AS3" s="89"/>
    </row>
    <row r="4" spans="1:59" s="42" customFormat="1" ht="15.75" thickBot="1">
      <c r="A4" s="32" t="s">
        <v>2927</v>
      </c>
      <c r="B4" s="54"/>
      <c r="C4" s="54"/>
      <c r="D4" s="33"/>
      <c r="E4" s="33"/>
      <c r="F4" s="145"/>
      <c r="G4" s="145"/>
      <c r="H4" s="55"/>
      <c r="I4" s="56">
        <f t="shared" ref="I4:Q4" si="0">SUM(I6:I398)</f>
        <v>2638206923.3241887</v>
      </c>
      <c r="J4" s="56">
        <f t="shared" si="0"/>
        <v>1655663596.3521092</v>
      </c>
      <c r="K4" s="56">
        <f t="shared" si="0"/>
        <v>4293870519.6762996</v>
      </c>
      <c r="L4" s="56">
        <f t="shared" si="0"/>
        <v>2918361917.8084998</v>
      </c>
      <c r="M4" s="56">
        <f t="shared" si="0"/>
        <v>1094706236.7848396</v>
      </c>
      <c r="N4" s="56">
        <f t="shared" si="0"/>
        <v>4013068154.5933404</v>
      </c>
      <c r="O4" s="56">
        <f t="shared" si="0"/>
        <v>4835574257.8822107</v>
      </c>
      <c r="P4" s="56">
        <f t="shared" si="0"/>
        <v>2255414493.3980799</v>
      </c>
      <c r="Q4" s="56">
        <f t="shared" si="0"/>
        <v>7090988751.2802877</v>
      </c>
      <c r="R4" s="57">
        <v>0.69664000000000004</v>
      </c>
      <c r="S4" s="57"/>
      <c r="T4" s="57"/>
      <c r="U4" s="57"/>
      <c r="V4" s="56">
        <f>SUM(V6:V398)</f>
        <v>2990040239.6560726</v>
      </c>
      <c r="W4" s="56">
        <f>SUM(W6:W398)</f>
        <v>1098215518.5697763</v>
      </c>
      <c r="X4" s="56">
        <f>SUM(X6:X398)</f>
        <v>4088255758.2258515</v>
      </c>
      <c r="Y4" s="56"/>
      <c r="Z4" s="56"/>
      <c r="AA4" s="56"/>
      <c r="AB4" s="56"/>
      <c r="AC4" s="56"/>
      <c r="AD4" s="56"/>
      <c r="AE4" s="56">
        <f>SUM(AE6:AE398)</f>
        <v>1586744778.6768043</v>
      </c>
      <c r="AF4" s="56">
        <f>SUM(AF6:AF398)</f>
        <v>845042149.70354879</v>
      </c>
      <c r="AG4" s="56">
        <f>SUM(AG6:AG398)</f>
        <v>2431786928.3803506</v>
      </c>
      <c r="AH4" s="56"/>
      <c r="AI4" s="56"/>
      <c r="AJ4" s="56">
        <f>SUM(AJ6:AJ398)</f>
        <v>1275647915.5785897</v>
      </c>
      <c r="AK4" s="56">
        <f>SUM(AK6:AK398)</f>
        <v>764593842.63575244</v>
      </c>
      <c r="AL4" s="56"/>
      <c r="AM4" s="56"/>
      <c r="AN4" s="114">
        <f t="shared" ref="AN4:BG4" si="1">SUM(AN6:AN398)</f>
        <v>6128497516.4401941</v>
      </c>
      <c r="AO4" s="114">
        <f t="shared" si="1"/>
        <v>378418399.99158454</v>
      </c>
      <c r="AP4" s="121">
        <f t="shared" si="1"/>
        <v>6506915916.4317703</v>
      </c>
      <c r="AQ4" s="56">
        <f t="shared" si="1"/>
        <v>2761092644.6513286</v>
      </c>
      <c r="AR4" s="56">
        <f t="shared" si="1"/>
        <v>1380546322.3256643</v>
      </c>
      <c r="AS4" s="56">
        <f t="shared" si="1"/>
        <v>1380546322.3256643</v>
      </c>
      <c r="AT4" s="56">
        <f t="shared" si="1"/>
        <v>2954095787.641499</v>
      </c>
      <c r="AU4" s="56">
        <f t="shared" si="1"/>
        <v>998736464.28515935</v>
      </c>
      <c r="AV4" s="56">
        <f t="shared" si="1"/>
        <v>3952832251.9266605</v>
      </c>
      <c r="AW4" s="56">
        <f t="shared" si="1"/>
        <v>5814799660.8900032</v>
      </c>
      <c r="AX4" s="56">
        <f t="shared" si="1"/>
        <v>2093442701.0699985</v>
      </c>
      <c r="AY4" s="56">
        <f t="shared" si="1"/>
        <v>7908242361.9600029</v>
      </c>
      <c r="AZ4" s="56">
        <f t="shared" si="1"/>
        <v>7789670045.5237045</v>
      </c>
      <c r="BA4" s="56">
        <f t="shared" si="1"/>
        <v>3254150957.6832423</v>
      </c>
      <c r="BB4" s="56">
        <f t="shared" si="1"/>
        <v>4835428564.4258108</v>
      </c>
      <c r="BC4" s="56">
        <f t="shared" si="1"/>
        <v>2160538811.5178752</v>
      </c>
      <c r="BD4" s="56">
        <f t="shared" si="1"/>
        <v>6963201802.1461153</v>
      </c>
      <c r="BE4" s="56">
        <f t="shared" si="1"/>
        <v>2728028670.0229402</v>
      </c>
      <c r="BF4" s="56">
        <f t="shared" si="1"/>
        <v>1191603528.0319948</v>
      </c>
      <c r="BG4" s="56">
        <f t="shared" si="1"/>
        <v>319205041</v>
      </c>
    </row>
    <row r="5" spans="1:59" ht="56.25">
      <c r="A5" s="49" t="s">
        <v>0</v>
      </c>
      <c r="B5" s="50" t="s">
        <v>3623</v>
      </c>
      <c r="C5" s="50" t="s">
        <v>2195</v>
      </c>
      <c r="D5" s="50" t="s">
        <v>1</v>
      </c>
      <c r="E5" s="50" t="s">
        <v>2</v>
      </c>
      <c r="F5" s="146" t="s">
        <v>3081</v>
      </c>
      <c r="G5" s="146" t="s">
        <v>3</v>
      </c>
      <c r="H5" s="137" t="s">
        <v>2910</v>
      </c>
      <c r="I5" s="50" t="s">
        <v>3749</v>
      </c>
      <c r="J5" s="50" t="s">
        <v>3750</v>
      </c>
      <c r="K5" s="137" t="s">
        <v>3751</v>
      </c>
      <c r="L5" s="52" t="s">
        <v>3738</v>
      </c>
      <c r="M5" s="52" t="s">
        <v>3739</v>
      </c>
      <c r="N5" s="139" t="s">
        <v>2912</v>
      </c>
      <c r="O5" s="53" t="s">
        <v>2858</v>
      </c>
      <c r="P5" s="53" t="s">
        <v>2861</v>
      </c>
      <c r="Q5" s="139" t="s">
        <v>2929</v>
      </c>
      <c r="R5" s="139" t="s">
        <v>3197</v>
      </c>
      <c r="S5" s="139" t="s">
        <v>3198</v>
      </c>
      <c r="T5" s="139" t="s">
        <v>3172</v>
      </c>
      <c r="U5" s="139" t="s">
        <v>3173</v>
      </c>
      <c r="V5" s="139" t="s">
        <v>3063</v>
      </c>
      <c r="W5" s="139" t="s">
        <v>3064</v>
      </c>
      <c r="X5" s="139" t="s">
        <v>3755</v>
      </c>
      <c r="Y5" s="84" t="s">
        <v>3222</v>
      </c>
      <c r="Z5" s="139" t="s">
        <v>3203</v>
      </c>
      <c r="AA5" s="139" t="s">
        <v>3205</v>
      </c>
      <c r="AB5" s="139" t="s">
        <v>3206</v>
      </c>
      <c r="AC5" s="139" t="s">
        <v>3170</v>
      </c>
      <c r="AD5" s="139" t="s">
        <v>3171</v>
      </c>
      <c r="AE5" s="84" t="s">
        <v>3239</v>
      </c>
      <c r="AF5" s="84" t="s">
        <v>3240</v>
      </c>
      <c r="AG5" s="84" t="s">
        <v>3754</v>
      </c>
      <c r="AH5" s="129" t="s">
        <v>3232</v>
      </c>
      <c r="AI5" s="129" t="s">
        <v>3233</v>
      </c>
      <c r="AJ5" s="129" t="s">
        <v>3234</v>
      </c>
      <c r="AK5" s="129" t="s">
        <v>3235</v>
      </c>
      <c r="AL5" s="84" t="s">
        <v>3200</v>
      </c>
      <c r="AM5" s="84" t="s">
        <v>3201</v>
      </c>
      <c r="AN5" s="84" t="s">
        <v>3752</v>
      </c>
      <c r="AO5" s="84" t="s">
        <v>3218</v>
      </c>
      <c r="AP5" s="84" t="s">
        <v>3753</v>
      </c>
      <c r="AQ5" s="51" t="s">
        <v>3179</v>
      </c>
      <c r="AR5" s="51" t="s">
        <v>3180</v>
      </c>
      <c r="AS5" s="51" t="s">
        <v>3181</v>
      </c>
      <c r="AT5" s="74" t="s">
        <v>3421</v>
      </c>
      <c r="AU5" s="74" t="s">
        <v>2945</v>
      </c>
      <c r="AV5" s="74" t="s">
        <v>2946</v>
      </c>
      <c r="AW5" s="74" t="s">
        <v>2947</v>
      </c>
      <c r="AX5" s="74" t="s">
        <v>2948</v>
      </c>
      <c r="AY5" s="74" t="s">
        <v>2949</v>
      </c>
      <c r="AZ5" s="74" t="s">
        <v>2950</v>
      </c>
      <c r="BA5" s="74" t="s">
        <v>2951</v>
      </c>
      <c r="BB5" s="74" t="s">
        <v>3183</v>
      </c>
      <c r="BC5" s="74" t="s">
        <v>3182</v>
      </c>
      <c r="BD5" s="74" t="s">
        <v>2952</v>
      </c>
      <c r="BE5" s="93" t="s">
        <v>3184</v>
      </c>
      <c r="BF5" s="93" t="s">
        <v>3185</v>
      </c>
      <c r="BG5" s="143" t="s">
        <v>3002</v>
      </c>
    </row>
    <row r="6" spans="1:59">
      <c r="A6" s="124" t="s">
        <v>40</v>
      </c>
      <c r="B6" s="31" t="s">
        <v>40</v>
      </c>
      <c r="C6" s="31" t="s">
        <v>41</v>
      </c>
      <c r="D6" s="180" t="s">
        <v>41</v>
      </c>
      <c r="E6" s="144" t="s">
        <v>3084</v>
      </c>
      <c r="F6" s="44" t="s">
        <v>2768</v>
      </c>
      <c r="G6" s="43" t="s">
        <v>1489</v>
      </c>
      <c r="H6" s="43" t="str">
        <f t="shared" ref="H6:H69" si="2">CONCATENATE(F6," ",G6)</f>
        <v>Rural MRSA Central</v>
      </c>
      <c r="I6" s="45">
        <f>INDEX(FeeCalc!M:M,MATCH(C:C,FeeCalc!F:F,0))</f>
        <v>2967777.0221304498</v>
      </c>
      <c r="J6" s="45">
        <f>INDEX(FeeCalc!L:L,MATCH(C:C,FeeCalc!F:F,0))</f>
        <v>104027.51727608529</v>
      </c>
      <c r="K6" s="45">
        <f t="shared" ref="K6:K69" si="3">I6+J6</f>
        <v>3071804.5394065352</v>
      </c>
      <c r="L6" s="45">
        <f>IFERROR(IFERROR(INDEX('2023 IP UPL Data'!N:N,MATCH(A:A,'2023 IP UPL Data'!B:B,0)),INDEX('2023 IMD UPL Data'!M:M,MATCH(A:A,'2023 IMD UPL Data'!B:B,0))),0)</f>
        <v>-113304.29385936446</v>
      </c>
      <c r="M6" s="45">
        <f>IFERROR((IF(F6="IMD",0,INDEX('2023 OP UPL Data'!M:M,MATCH(A:A,'2023 OP UPL Data'!B:B,0)))),0)</f>
        <v>99435.521456953662</v>
      </c>
      <c r="N6" s="45">
        <f t="shared" ref="N6:N69" si="4">+L6+M6</f>
        <v>-13868.772402410803</v>
      </c>
      <c r="O6" s="45">
        <v>-148218.03153666624</v>
      </c>
      <c r="P6" s="45">
        <v>401676.05386297242</v>
      </c>
      <c r="Q6" s="45">
        <f t="shared" ref="Q6:Q69" si="5">O6+P6</f>
        <v>253458.02232630618</v>
      </c>
      <c r="R6" s="45" t="str">
        <f t="shared" ref="R6:R69" si="6">IF(O6&gt;0,"Yes","No")</f>
        <v>No</v>
      </c>
      <c r="S6" s="46" t="str">
        <f t="shared" ref="S6:S69" si="7">IF(P6&gt;0,"Yes","No")</f>
        <v>Yes</v>
      </c>
      <c r="T6" s="47">
        <f>ROUND(INDEX(Summary!H:H,MATCH(H:H,Summary!A:A,0)),2)</f>
        <v>0</v>
      </c>
      <c r="U6" s="47">
        <f>ROUND(INDEX(Summary!I:I,MATCH(H:H,Summary!A:A,0)),2)</f>
        <v>0.17</v>
      </c>
      <c r="V6" s="85">
        <f t="shared" ref="V6:V69" si="8">+T6*I6</f>
        <v>0</v>
      </c>
      <c r="W6" s="85">
        <f t="shared" ref="W6:W69" si="9">+U6*J6</f>
        <v>17684.677936934499</v>
      </c>
      <c r="X6" s="45">
        <f t="shared" ref="X6:X69" si="10">+V6+W6</f>
        <v>17684.677936934499</v>
      </c>
      <c r="Y6" s="45" t="s">
        <v>3223</v>
      </c>
      <c r="Z6" s="45" t="str">
        <f t="shared" ref="Z6:Z69" si="11">IF(AJ6&gt;0,"Yes","No")</f>
        <v>No</v>
      </c>
      <c r="AA6" s="45" t="str">
        <f t="shared" ref="AA6:AA69" si="12">IF(AK6&gt;0,"Yes","No")</f>
        <v>Yes</v>
      </c>
      <c r="AB6" s="45" t="str">
        <f t="shared" ref="AB6:AB69" si="13">IF(AG6&gt;0,"Yes","No")</f>
        <v>Yes</v>
      </c>
      <c r="AC6" s="86">
        <f>IF(Y6="No",0,IFERROR(ROUND(IF(I6&gt;0,IF(O6&gt;0,$R$4*MAX(O6-V6,0),0),0)/I6,2),0))</f>
        <v>0</v>
      </c>
      <c r="AD6" s="86">
        <f>IF(Y6="No",0,IFERROR(ROUND(IF(J6&gt;0,IF(P6&gt;0,$R$4*MAX(P6-W6,0),0),0)/J6,2),0))</f>
        <v>2.57</v>
      </c>
      <c r="AE6" s="45">
        <f>AC6*I6</f>
        <v>0</v>
      </c>
      <c r="AF6" s="45">
        <f t="shared" ref="AF6:AF69" si="14">AD6*J6</f>
        <v>267350.71939953917</v>
      </c>
      <c r="AG6" s="45">
        <f t="shared" ref="AG6:AG69" si="15">AE6+AF6</f>
        <v>267350.71939953917</v>
      </c>
      <c r="AH6" s="47">
        <f>IF(Y6="No",0,IFERROR(ROUNDDOWN(INDEX('90% of ACR'!K:K,MATCH(H:H,'90% of ACR'!A:A,0))*IF(I6&gt;0,IF(O6&gt;0,$R$4*MAX(O6-V6,0),0),0)/I6,2),0))</f>
        <v>0</v>
      </c>
      <c r="AI6" s="86">
        <f>IF(Y6="No",0,IFERROR(ROUNDDOWN(INDEX('90% of ACR'!R:R,MATCH(H:H,'90% of ACR'!A:A,0))*IF(J6&gt;0,IF(P6&gt;0,$R$4*MAX(P6-W6,0),0),0)/J6,2),0))</f>
        <v>2.57</v>
      </c>
      <c r="AJ6" s="45">
        <f t="shared" ref="AJ6:AJ69" si="16">I6*AH6</f>
        <v>0</v>
      </c>
      <c r="AK6" s="45">
        <f t="shared" ref="AK6:AK69" si="17">J6*AI6</f>
        <v>267350.71939953917</v>
      </c>
      <c r="AL6" s="47">
        <f t="shared" ref="AL6:AL69" si="18">T6+AH6</f>
        <v>0</v>
      </c>
      <c r="AM6" s="47">
        <f t="shared" ref="AM6:AM69" si="19">U6+AI6</f>
        <v>2.7399999999999998</v>
      </c>
      <c r="AN6" s="87">
        <f>IFERROR(INDEX(FeeCalc!P:P,MATCH(C6,FeeCalc!F:F,0)),0)</f>
        <v>285035.39733647369</v>
      </c>
      <c r="AO6" s="87">
        <f>IFERROR(INDEX(FeeCalc!S:S,MATCH(C6,FeeCalc!F:F,0)),0)</f>
        <v>17511.471907776111</v>
      </c>
      <c r="AP6" s="87">
        <f t="shared" ref="AP6:AP69" si="20">AN6+AO6</f>
        <v>302546.86924424977</v>
      </c>
      <c r="AQ6" s="72">
        <f t="shared" ref="AQ6:AQ69" si="21">$AQ$3*AP6*1.08</f>
        <v>128380.31812015102</v>
      </c>
      <c r="AR6" s="72">
        <f t="shared" ref="AR6:AR69" si="22">AQ6*0.5</f>
        <v>64190.159060075508</v>
      </c>
      <c r="AS6" s="72">
        <f t="shared" ref="AS6:AS69" si="23">AR6</f>
        <v>64190.159060075508</v>
      </c>
      <c r="AT6" s="72">
        <f>IFERROR(IFERROR(INDEX('2023 IP UPL Data'!L:L,MATCH(A:A,'2023 IP UPL Data'!B:B,0)),INDEX('2023 IMD UPL Data'!I:I,MATCH(A:A,'2023 IMD UPL Data'!B:B,0))),0)</f>
        <v>403670.93385936448</v>
      </c>
      <c r="AU6" s="72">
        <f>IFERROR(IF(F4="IMD",0,INDEX('2023 OP UPL Data'!J:J,MATCH(A:A,'2023 OP UPL Data'!B:B,0))),0)</f>
        <v>240396.01854304632</v>
      </c>
      <c r="AV6" s="72">
        <f t="shared" ref="AV6:AV69" si="24">AT6+AU6</f>
        <v>644066.9524024108</v>
      </c>
      <c r="AW6" s="72">
        <f>IFERROR(IFERROR(INDEX('2023 IP UPL Data'!M:M,MATCH(A:A,'2023 IP UPL Data'!B:B,0)),INDEX('2023 IMD UPL Data'!K:K,MATCH(A:A,'2023 IMD UPL Data'!B:B,0))),0)</f>
        <v>290366.64</v>
      </c>
      <c r="AX6" s="72">
        <f>IFERROR(IF(F4="IMD",0,INDEX('2023 OP UPL Data'!L:L,MATCH(A:A,'2023 OP UPL Data'!B:B,0))),0)</f>
        <v>339831.54</v>
      </c>
      <c r="AY6" s="72">
        <f t="shared" ref="AY6:AY69" si="25">AW6+AX6</f>
        <v>630198.17999999993</v>
      </c>
      <c r="AZ6" s="72">
        <v>255452.90232269824</v>
      </c>
      <c r="BA6" s="72">
        <v>642072.07240601873</v>
      </c>
      <c r="BB6" s="72">
        <f t="shared" ref="BB6:BB69" si="26">IF(AZ6&gt;V6,AZ6-V6,0)</f>
        <v>255452.90232269824</v>
      </c>
      <c r="BC6" s="72">
        <f t="shared" ref="BC6:BC69" si="27">IF(BA6&gt;W6,BA6-W6,0)</f>
        <v>624387.39446908422</v>
      </c>
      <c r="BD6" s="72">
        <f t="shared" ref="BD6:BD69" si="28">IF(AZ6+BA6&gt;X6,AZ6+BA6-X6,0)</f>
        <v>879840.29679178249</v>
      </c>
      <c r="BE6" s="94">
        <f t="shared" ref="BE6:BE69" si="29">IF(AZ6&gt;AW6,AZ6-AW6,0)</f>
        <v>0</v>
      </c>
      <c r="BF6" s="94">
        <f t="shared" ref="BF6:BF69" si="30">IF(BA6&gt;AX6,BA6-AX6,0)</f>
        <v>302240.53240601876</v>
      </c>
      <c r="BG6" s="73">
        <f>IFERROR(INDEX('2023 IP UPL Data'!K:K,MATCH(A6,'2023 IP UPL Data'!B:B,0)),0)</f>
        <v>0</v>
      </c>
    </row>
    <row r="7" spans="1:59">
      <c r="A7" s="124" t="s">
        <v>533</v>
      </c>
      <c r="B7" s="31" t="s">
        <v>533</v>
      </c>
      <c r="C7" s="31" t="s">
        <v>534</v>
      </c>
      <c r="D7" s="180" t="s">
        <v>534</v>
      </c>
      <c r="E7" s="144" t="s">
        <v>2973</v>
      </c>
      <c r="F7" s="44" t="s">
        <v>2768</v>
      </c>
      <c r="G7" s="43" t="s">
        <v>227</v>
      </c>
      <c r="H7" s="43" t="str">
        <f t="shared" si="2"/>
        <v>Rural MRSA West</v>
      </c>
      <c r="I7" s="45">
        <f>INDEX(FeeCalc!M:M,MATCH(C:C,FeeCalc!F:F,0))</f>
        <v>425852.23016942921</v>
      </c>
      <c r="J7" s="45">
        <f>INDEX(FeeCalc!L:L,MATCH(C:C,FeeCalc!F:F,0))</f>
        <v>378746.00781069783</v>
      </c>
      <c r="K7" s="45">
        <f t="shared" si="3"/>
        <v>804598.2379801271</v>
      </c>
      <c r="L7" s="45">
        <f>IFERROR(IFERROR(INDEX('2023 IP UPL Data'!N:N,MATCH(A:A,'2023 IP UPL Data'!B:B,0)),INDEX('2023 IMD UPL Data'!M:M,MATCH(A:A,'2023 IMD UPL Data'!B:B,0))),0)</f>
        <v>-3469.6465360218426</v>
      </c>
      <c r="M7" s="45">
        <f>IFERROR((IF(F7="IMD",0,INDEX('2023 OP UPL Data'!M:M,MATCH(A:A,'2023 OP UPL Data'!B:B,0)))),0)</f>
        <v>153436.3460544218</v>
      </c>
      <c r="N7" s="45">
        <f t="shared" si="4"/>
        <v>149966.69951839995</v>
      </c>
      <c r="O7" s="45">
        <v>72760.20820207661</v>
      </c>
      <c r="P7" s="45">
        <v>645364.33423605445</v>
      </c>
      <c r="Q7" s="45">
        <f t="shared" si="5"/>
        <v>718124.54243813106</v>
      </c>
      <c r="R7" s="45" t="str">
        <f t="shared" si="6"/>
        <v>Yes</v>
      </c>
      <c r="S7" s="46" t="str">
        <f t="shared" si="7"/>
        <v>Yes</v>
      </c>
      <c r="T7" s="47">
        <f>ROUND(INDEX(Summary!H:H,MATCH(H:H,Summary!A:A,0)),2)</f>
        <v>0</v>
      </c>
      <c r="U7" s="47">
        <f>ROUND(INDEX(Summary!I:I,MATCH(H:H,Summary!A:A,0)),2)</f>
        <v>0.28999999999999998</v>
      </c>
      <c r="V7" s="85">
        <f t="shared" si="8"/>
        <v>0</v>
      </c>
      <c r="W7" s="85">
        <f t="shared" si="9"/>
        <v>109836.34226510236</v>
      </c>
      <c r="X7" s="45">
        <f t="shared" si="10"/>
        <v>109836.34226510236</v>
      </c>
      <c r="Y7" s="45" t="s">
        <v>3223</v>
      </c>
      <c r="Z7" s="45" t="str">
        <f t="shared" si="11"/>
        <v>No</v>
      </c>
      <c r="AA7" s="45" t="str">
        <f t="shared" si="12"/>
        <v>Yes</v>
      </c>
      <c r="AB7" s="45" t="str">
        <f t="shared" si="13"/>
        <v>Yes</v>
      </c>
      <c r="AC7" s="86">
        <f t="shared" ref="AC7:AC70" si="31">IF(Y7="No",0,IFERROR(ROUND(IF(I7&gt;0,IF(O7&gt;0,$R$4*MAX(O7-V7,0),0),0)/I7,2),0))</f>
        <v>0.12</v>
      </c>
      <c r="AD7" s="86">
        <f t="shared" ref="AD7:AD70" si="32">IF(Y7="No",0,IFERROR(ROUND(IF(J7&gt;0,IF(P7&gt;0,$R$4*MAX(P7-W7,0),0),0)/J7,2),0))</f>
        <v>0.99</v>
      </c>
      <c r="AE7" s="45">
        <f t="shared" ref="AE7:AF70" si="33">AC7*I7</f>
        <v>51102.267620331506</v>
      </c>
      <c r="AF7" s="45">
        <f t="shared" si="14"/>
        <v>374958.54773259087</v>
      </c>
      <c r="AG7" s="45">
        <f t="shared" si="15"/>
        <v>426060.81535292236</v>
      </c>
      <c r="AH7" s="47">
        <f>IF(Y7="No",0,IFERROR(ROUNDDOWN(INDEX('90% of ACR'!K:K,MATCH(H:H,'90% of ACR'!A:A,0))*IF(I7&gt;0,IF(O7&gt;0,$R$4*MAX(O7-V7,0),0),0)/I7,2),0))</f>
        <v>0</v>
      </c>
      <c r="AI7" s="86">
        <f>IF(Y7="No",0,IFERROR(ROUNDDOWN(INDEX('90% of ACR'!R:R,MATCH(H:H,'90% of ACR'!A:A,0))*IF(J7&gt;0,IF(P7&gt;0,$R$4*MAX(P7-W7,0),0),0)/J7,2),0))</f>
        <v>0.97</v>
      </c>
      <c r="AJ7" s="45">
        <f t="shared" si="16"/>
        <v>0</v>
      </c>
      <c r="AK7" s="45">
        <f t="shared" si="17"/>
        <v>367383.62757637689</v>
      </c>
      <c r="AL7" s="47">
        <f t="shared" si="18"/>
        <v>0</v>
      </c>
      <c r="AM7" s="47">
        <f t="shared" si="19"/>
        <v>1.26</v>
      </c>
      <c r="AN7" s="87">
        <f>IFERROR(INDEX(FeeCalc!P:P,MATCH(C7,FeeCalc!F:F,0)),0)</f>
        <v>477219.96984147927</v>
      </c>
      <c r="AO7" s="87">
        <f>IFERROR(INDEX(FeeCalc!S:S,MATCH(C7,FeeCalc!F:F,0)),0)</f>
        <v>29303.881711177957</v>
      </c>
      <c r="AP7" s="87">
        <f t="shared" si="20"/>
        <v>506523.8515526572</v>
      </c>
      <c r="AQ7" s="72">
        <f t="shared" si="21"/>
        <v>214934.27897704215</v>
      </c>
      <c r="AR7" s="72">
        <f t="shared" si="22"/>
        <v>107467.13948852108</v>
      </c>
      <c r="AS7" s="72">
        <f t="shared" si="23"/>
        <v>107467.13948852108</v>
      </c>
      <c r="AT7" s="72">
        <f>IFERROR(IFERROR(INDEX('2023 IP UPL Data'!L:L,MATCH(A:A,'2023 IP UPL Data'!B:B,0)),INDEX('2023 IMD UPL Data'!I:I,MATCH(A:A,'2023 IMD UPL Data'!B:B,0))),0)</f>
        <v>457459.40653602185</v>
      </c>
      <c r="AU7" s="72">
        <f>IFERROR(IF(F5="IMD",0,INDEX('2023 OP UPL Data'!J:J,MATCH(A:A,'2023 OP UPL Data'!B:B,0))),0)</f>
        <v>139209.86394557822</v>
      </c>
      <c r="AV7" s="45">
        <f t="shared" si="24"/>
        <v>596669.27048160008</v>
      </c>
      <c r="AW7" s="72">
        <f>IFERROR(IFERROR(INDEX('2023 IP UPL Data'!M:M,MATCH(A:A,'2023 IP UPL Data'!B:B,0)),INDEX('2023 IMD UPL Data'!K:K,MATCH(A:A,'2023 IMD UPL Data'!B:B,0))),0)</f>
        <v>453989.76</v>
      </c>
      <c r="AX7" s="72">
        <f>IFERROR(IF(F5="IMD",0,INDEX('2023 OP UPL Data'!L:L,MATCH(A:A,'2023 OP UPL Data'!B:B,0))),0)</f>
        <v>292646.21000000002</v>
      </c>
      <c r="AY7" s="45">
        <f t="shared" si="25"/>
        <v>746635.97</v>
      </c>
      <c r="AZ7" s="72">
        <v>530219.61473809846</v>
      </c>
      <c r="BA7" s="72">
        <v>784574.19818163267</v>
      </c>
      <c r="BB7" s="72">
        <f t="shared" si="26"/>
        <v>530219.61473809846</v>
      </c>
      <c r="BC7" s="72">
        <f t="shared" si="27"/>
        <v>674737.85591653036</v>
      </c>
      <c r="BD7" s="72">
        <f t="shared" si="28"/>
        <v>1204957.4706546289</v>
      </c>
      <c r="BE7" s="94">
        <f t="shared" si="29"/>
        <v>76229.854738098453</v>
      </c>
      <c r="BF7" s="94">
        <f t="shared" si="30"/>
        <v>491927.98818163265</v>
      </c>
      <c r="BG7" s="73">
        <f>IFERROR(INDEX('2023 IP UPL Data'!K:K,MATCH(A7,'2023 IP UPL Data'!B:B,0)),0)</f>
        <v>0</v>
      </c>
    </row>
    <row r="8" spans="1:59">
      <c r="A8" s="124" t="s">
        <v>587</v>
      </c>
      <c r="B8" s="31" t="s">
        <v>587</v>
      </c>
      <c r="C8" s="31" t="s">
        <v>588</v>
      </c>
      <c r="D8" s="180" t="s">
        <v>588</v>
      </c>
      <c r="E8" s="144" t="s">
        <v>3431</v>
      </c>
      <c r="F8" s="44" t="s">
        <v>2768</v>
      </c>
      <c r="G8" s="43" t="s">
        <v>227</v>
      </c>
      <c r="H8" s="43" t="str">
        <f t="shared" si="2"/>
        <v>Rural MRSA West</v>
      </c>
      <c r="I8" s="45">
        <f>INDEX(FeeCalc!M:M,MATCH(C:C,FeeCalc!F:F,0))</f>
        <v>1006583.536323222</v>
      </c>
      <c r="J8" s="45">
        <f>INDEX(FeeCalc!L:L,MATCH(C:C,FeeCalc!F:F,0))</f>
        <v>1125471.8549242448</v>
      </c>
      <c r="K8" s="45">
        <f t="shared" si="3"/>
        <v>2132055.3912474667</v>
      </c>
      <c r="L8" s="45">
        <f>IFERROR(IFERROR(INDEX('2023 IP UPL Data'!N:N,MATCH(A:A,'2023 IP UPL Data'!B:B,0)),INDEX('2023 IMD UPL Data'!M:M,MATCH(A:A,'2023 IMD UPL Data'!B:B,0))),0)</f>
        <v>-4786876.9970207689</v>
      </c>
      <c r="M8" s="45">
        <f>IFERROR((IF(F8="IMD",0,INDEX('2023 OP UPL Data'!M:M,MATCH(A:A,'2023 OP UPL Data'!B:B,0)))),0)</f>
        <v>457228.93150000006</v>
      </c>
      <c r="N8" s="45">
        <f t="shared" si="4"/>
        <v>-4329648.065520769</v>
      </c>
      <c r="O8" s="45">
        <v>-4896626.2417315301</v>
      </c>
      <c r="P8" s="45">
        <v>465623.77382431226</v>
      </c>
      <c r="Q8" s="45">
        <f t="shared" si="5"/>
        <v>-4431002.4679072183</v>
      </c>
      <c r="R8" s="45" t="str">
        <f t="shared" si="6"/>
        <v>No</v>
      </c>
      <c r="S8" s="46" t="str">
        <f t="shared" si="7"/>
        <v>Yes</v>
      </c>
      <c r="T8" s="47">
        <f>ROUND(INDEX(Summary!H:H,MATCH(H:H,Summary!A:A,0)),2)</f>
        <v>0</v>
      </c>
      <c r="U8" s="47">
        <f>ROUND(INDEX(Summary!I:I,MATCH(H:H,Summary!A:A,0)),2)</f>
        <v>0.28999999999999998</v>
      </c>
      <c r="V8" s="85">
        <f t="shared" si="8"/>
        <v>0</v>
      </c>
      <c r="W8" s="85">
        <f t="shared" si="9"/>
        <v>326386.83792803099</v>
      </c>
      <c r="X8" s="45">
        <f t="shared" si="10"/>
        <v>326386.83792803099</v>
      </c>
      <c r="Y8" s="45" t="s">
        <v>3223</v>
      </c>
      <c r="Z8" s="45" t="str">
        <f t="shared" si="11"/>
        <v>No</v>
      </c>
      <c r="AA8" s="45" t="str">
        <f t="shared" si="12"/>
        <v>Yes</v>
      </c>
      <c r="AB8" s="45" t="str">
        <f t="shared" si="13"/>
        <v>Yes</v>
      </c>
      <c r="AC8" s="86">
        <f t="shared" si="31"/>
        <v>0</v>
      </c>
      <c r="AD8" s="86">
        <f t="shared" si="32"/>
        <v>0.09</v>
      </c>
      <c r="AE8" s="45">
        <f t="shared" si="33"/>
        <v>0</v>
      </c>
      <c r="AF8" s="45">
        <f t="shared" si="14"/>
        <v>101292.46694318202</v>
      </c>
      <c r="AG8" s="45">
        <f t="shared" si="15"/>
        <v>101292.46694318202</v>
      </c>
      <c r="AH8" s="47">
        <f>IF(Y8="No",0,IFERROR(ROUNDDOWN(INDEX('90% of ACR'!K:K,MATCH(H:H,'90% of ACR'!A:A,0))*IF(I8&gt;0,IF(O8&gt;0,$R$4*MAX(O8-V8,0),0),0)/I8,2),0))</f>
        <v>0</v>
      </c>
      <c r="AI8" s="86">
        <f>IF(Y8="No",0,IFERROR(ROUNDDOWN(INDEX('90% of ACR'!R:R,MATCH(H:H,'90% of ACR'!A:A,0))*IF(J8&gt;0,IF(P8&gt;0,$R$4*MAX(P8-W8,0),0),0)/J8,2),0))</f>
        <v>0.08</v>
      </c>
      <c r="AJ8" s="45">
        <f t="shared" si="16"/>
        <v>0</v>
      </c>
      <c r="AK8" s="45">
        <f t="shared" si="17"/>
        <v>90037.74839393959</v>
      </c>
      <c r="AL8" s="47">
        <f t="shared" si="18"/>
        <v>0</v>
      </c>
      <c r="AM8" s="47">
        <f t="shared" si="19"/>
        <v>0.37</v>
      </c>
      <c r="AN8" s="87">
        <f>IFERROR(INDEX(FeeCalc!P:P,MATCH(C8,FeeCalc!F:F,0)),0)</f>
        <v>416424.58632197056</v>
      </c>
      <c r="AO8" s="87">
        <f>IFERROR(INDEX(FeeCalc!S:S,MATCH(C8,FeeCalc!F:F,0)),0)</f>
        <v>25603.654021239425</v>
      </c>
      <c r="AP8" s="87">
        <f t="shared" si="20"/>
        <v>442028.24034321</v>
      </c>
      <c r="AQ8" s="72">
        <f t="shared" si="21"/>
        <v>187566.72728131502</v>
      </c>
      <c r="AR8" s="72">
        <f t="shared" si="22"/>
        <v>93783.36364065751</v>
      </c>
      <c r="AS8" s="72">
        <f t="shared" si="23"/>
        <v>93783.36364065751</v>
      </c>
      <c r="AT8" s="72">
        <f>IFERROR(IFERROR(INDEX('2023 IP UPL Data'!L:L,MATCH(A:A,'2023 IP UPL Data'!B:B,0)),INDEX('2023 IMD UPL Data'!I:I,MATCH(A:A,'2023 IMD UPL Data'!B:B,0))),0)</f>
        <v>5769761.6070207693</v>
      </c>
      <c r="AU8" s="72">
        <f>IFERROR(IF(F6="IMD",0,INDEX('2023 OP UPL Data'!J:J,MATCH(A:A,'2023 OP UPL Data'!B:B,0))),0)</f>
        <v>411760.16849999991</v>
      </c>
      <c r="AV8" s="45">
        <f t="shared" si="24"/>
        <v>6181521.7755207689</v>
      </c>
      <c r="AW8" s="72">
        <f>IFERROR(IFERROR(INDEX('2023 IP UPL Data'!M:M,MATCH(A:A,'2023 IP UPL Data'!B:B,0)),INDEX('2023 IMD UPL Data'!K:K,MATCH(A:A,'2023 IMD UPL Data'!B:B,0))),0)</f>
        <v>982884.61</v>
      </c>
      <c r="AX8" s="72">
        <f>IFERROR(IF(F6="IMD",0,INDEX('2023 OP UPL Data'!L:L,MATCH(A:A,'2023 OP UPL Data'!B:B,0))),0)</f>
        <v>868989.1</v>
      </c>
      <c r="AY8" s="45">
        <f t="shared" si="25"/>
        <v>1851873.71</v>
      </c>
      <c r="AZ8" s="72">
        <v>873135.36528923933</v>
      </c>
      <c r="BA8" s="72">
        <v>877383.94232431217</v>
      </c>
      <c r="BB8" s="72">
        <f t="shared" si="26"/>
        <v>873135.36528923933</v>
      </c>
      <c r="BC8" s="72">
        <f t="shared" si="27"/>
        <v>550997.10439628118</v>
      </c>
      <c r="BD8" s="72">
        <f t="shared" si="28"/>
        <v>1424132.4696855205</v>
      </c>
      <c r="BE8" s="94">
        <f t="shared" si="29"/>
        <v>0</v>
      </c>
      <c r="BF8" s="94">
        <f t="shared" si="30"/>
        <v>8394.8423243121943</v>
      </c>
      <c r="BG8" s="73">
        <f>IFERROR(INDEX('2023 IP UPL Data'!K:K,MATCH(A8,'2023 IP UPL Data'!B:B,0)),0)</f>
        <v>4753094.72</v>
      </c>
    </row>
    <row r="9" spans="1:59">
      <c r="A9" s="124" t="s">
        <v>713</v>
      </c>
      <c r="B9" s="31" t="s">
        <v>713</v>
      </c>
      <c r="C9" s="31" t="s">
        <v>714</v>
      </c>
      <c r="D9" s="180" t="s">
        <v>714</v>
      </c>
      <c r="E9" s="144" t="s">
        <v>3311</v>
      </c>
      <c r="F9" s="44" t="s">
        <v>2768</v>
      </c>
      <c r="G9" s="43" t="s">
        <v>227</v>
      </c>
      <c r="H9" s="43" t="str">
        <f t="shared" si="2"/>
        <v>Rural MRSA West</v>
      </c>
      <c r="I9" s="45">
        <f>INDEX(FeeCalc!M:M,MATCH(C:C,FeeCalc!F:F,0))</f>
        <v>474563.37942258094</v>
      </c>
      <c r="J9" s="45">
        <f>INDEX(FeeCalc!L:L,MATCH(C:C,FeeCalc!F:F,0))</f>
        <v>1517713.694458154</v>
      </c>
      <c r="K9" s="45">
        <f t="shared" si="3"/>
        <v>1992277.0738807349</v>
      </c>
      <c r="L9" s="45">
        <f>IFERROR(IFERROR(INDEX('2023 IP UPL Data'!N:N,MATCH(A:A,'2023 IP UPL Data'!B:B,0)),INDEX('2023 IMD UPL Data'!M:M,MATCH(A:A,'2023 IMD UPL Data'!B:B,0))),0)</f>
        <v>-258314.5430807794</v>
      </c>
      <c r="M9" s="45">
        <f>IFERROR((IF(F9="IMD",0,INDEX('2023 OP UPL Data'!M:M,MATCH(A:A,'2023 OP UPL Data'!B:B,0)))),0)</f>
        <v>21031.702721088426</v>
      </c>
      <c r="N9" s="45">
        <f t="shared" si="4"/>
        <v>-237282.84035969098</v>
      </c>
      <c r="O9" s="45">
        <v>-63903.721140069887</v>
      </c>
      <c r="P9" s="45">
        <v>742994.14642775932</v>
      </c>
      <c r="Q9" s="45">
        <f t="shared" si="5"/>
        <v>679090.42528768943</v>
      </c>
      <c r="R9" s="45" t="str">
        <f t="shared" si="6"/>
        <v>No</v>
      </c>
      <c r="S9" s="46" t="str">
        <f t="shared" si="7"/>
        <v>Yes</v>
      </c>
      <c r="T9" s="47">
        <f>ROUND(INDEX(Summary!H:H,MATCH(H:H,Summary!A:A,0)),2)</f>
        <v>0</v>
      </c>
      <c r="U9" s="47">
        <f>ROUND(INDEX(Summary!I:I,MATCH(H:H,Summary!A:A,0)),2)</f>
        <v>0.28999999999999998</v>
      </c>
      <c r="V9" s="85">
        <f t="shared" si="8"/>
        <v>0</v>
      </c>
      <c r="W9" s="85">
        <f t="shared" si="9"/>
        <v>440136.97139286465</v>
      </c>
      <c r="X9" s="45">
        <f t="shared" si="10"/>
        <v>440136.97139286465</v>
      </c>
      <c r="Y9" s="45" t="s">
        <v>3223</v>
      </c>
      <c r="Z9" s="45" t="str">
        <f t="shared" si="11"/>
        <v>No</v>
      </c>
      <c r="AA9" s="45" t="str">
        <f t="shared" si="12"/>
        <v>Yes</v>
      </c>
      <c r="AB9" s="45" t="str">
        <f t="shared" si="13"/>
        <v>Yes</v>
      </c>
      <c r="AC9" s="86">
        <f t="shared" si="31"/>
        <v>0</v>
      </c>
      <c r="AD9" s="86">
        <f t="shared" si="32"/>
        <v>0.14000000000000001</v>
      </c>
      <c r="AE9" s="45">
        <f t="shared" si="33"/>
        <v>0</v>
      </c>
      <c r="AF9" s="45">
        <f t="shared" si="14"/>
        <v>212479.91722414159</v>
      </c>
      <c r="AG9" s="45">
        <f t="shared" si="15"/>
        <v>212479.91722414159</v>
      </c>
      <c r="AH9" s="47">
        <f>IF(Y9="No",0,IFERROR(ROUNDDOWN(INDEX('90% of ACR'!K:K,MATCH(H:H,'90% of ACR'!A:A,0))*IF(I9&gt;0,IF(O9&gt;0,$R$4*MAX(O9-V9,0),0),0)/I9,2),0))</f>
        <v>0</v>
      </c>
      <c r="AI9" s="86">
        <f>IF(Y9="No",0,IFERROR(ROUNDDOWN(INDEX('90% of ACR'!R:R,MATCH(H:H,'90% of ACR'!A:A,0))*IF(J9&gt;0,IF(P9&gt;0,$R$4*MAX(P9-W9,0),0),0)/J9,2),0))</f>
        <v>0.13</v>
      </c>
      <c r="AJ9" s="45">
        <f t="shared" si="16"/>
        <v>0</v>
      </c>
      <c r="AK9" s="45">
        <f t="shared" si="17"/>
        <v>197302.78027956004</v>
      </c>
      <c r="AL9" s="47">
        <f t="shared" si="18"/>
        <v>0</v>
      </c>
      <c r="AM9" s="47">
        <f t="shared" si="19"/>
        <v>0.42</v>
      </c>
      <c r="AN9" s="87">
        <f>IFERROR(INDEX(FeeCalc!P:P,MATCH(C9,FeeCalc!F:F,0)),0)</f>
        <v>637439.75167242473</v>
      </c>
      <c r="AO9" s="87">
        <f>IFERROR(INDEX(FeeCalc!S:S,MATCH(C9,FeeCalc!F:F,0)),0)</f>
        <v>39170.351611899707</v>
      </c>
      <c r="AP9" s="87">
        <f t="shared" si="20"/>
        <v>676610.1032843244</v>
      </c>
      <c r="AQ9" s="72">
        <f t="shared" si="21"/>
        <v>287107.31834684394</v>
      </c>
      <c r="AR9" s="72">
        <f t="shared" si="22"/>
        <v>143553.65917342197</v>
      </c>
      <c r="AS9" s="72">
        <f t="shared" si="23"/>
        <v>143553.65917342197</v>
      </c>
      <c r="AT9" s="72">
        <f>IFERROR(IFERROR(INDEX('2023 IP UPL Data'!L:L,MATCH(A:A,'2023 IP UPL Data'!B:B,0)),INDEX('2023 IMD UPL Data'!I:I,MATCH(A:A,'2023 IMD UPL Data'!B:B,0))),0)</f>
        <v>487624.45308077941</v>
      </c>
      <c r="AU9" s="72">
        <f>IFERROR(IF(F7="IMD",0,INDEX('2023 OP UPL Data'!J:J,MATCH(A:A,'2023 OP UPL Data'!B:B,0))),0)</f>
        <v>566960.63727891154</v>
      </c>
      <c r="AV9" s="45">
        <f t="shared" si="24"/>
        <v>1054585.0903596911</v>
      </c>
      <c r="AW9" s="72">
        <f>IFERROR(IFERROR(INDEX('2023 IP UPL Data'!M:M,MATCH(A:A,'2023 IP UPL Data'!B:B,0)),INDEX('2023 IMD UPL Data'!K:K,MATCH(A:A,'2023 IMD UPL Data'!B:B,0))),0)</f>
        <v>229309.91</v>
      </c>
      <c r="AX9" s="72">
        <f>IFERROR(IF(F7="IMD",0,INDEX('2023 OP UPL Data'!L:L,MATCH(A:A,'2023 OP UPL Data'!B:B,0))),0)</f>
        <v>587992.34</v>
      </c>
      <c r="AY9" s="45">
        <f t="shared" si="25"/>
        <v>817302.25</v>
      </c>
      <c r="AZ9" s="72">
        <v>423720.73194070952</v>
      </c>
      <c r="BA9" s="72">
        <v>1309954.7837066709</v>
      </c>
      <c r="BB9" s="72">
        <f t="shared" si="26"/>
        <v>423720.73194070952</v>
      </c>
      <c r="BC9" s="72">
        <f t="shared" si="27"/>
        <v>869817.81231380627</v>
      </c>
      <c r="BD9" s="72">
        <f t="shared" si="28"/>
        <v>1293538.5442545158</v>
      </c>
      <c r="BE9" s="94">
        <f t="shared" si="29"/>
        <v>194410.82194070952</v>
      </c>
      <c r="BF9" s="94">
        <f t="shared" si="30"/>
        <v>721962.44370667089</v>
      </c>
      <c r="BG9" s="73">
        <f>IFERROR(INDEX('2023 IP UPL Data'!K:K,MATCH(A9,'2023 IP UPL Data'!B:B,0)),0)</f>
        <v>0</v>
      </c>
    </row>
    <row r="10" spans="1:59">
      <c r="A10" s="124" t="s">
        <v>804</v>
      </c>
      <c r="B10" s="31" t="s">
        <v>804</v>
      </c>
      <c r="C10" s="31" t="s">
        <v>805</v>
      </c>
      <c r="D10" s="180" t="s">
        <v>805</v>
      </c>
      <c r="E10" s="144" t="s">
        <v>3432</v>
      </c>
      <c r="F10" s="44" t="s">
        <v>2768</v>
      </c>
      <c r="G10" s="43" t="s">
        <v>1489</v>
      </c>
      <c r="H10" s="43" t="str">
        <f t="shared" si="2"/>
        <v>Rural MRSA Central</v>
      </c>
      <c r="I10" s="45">
        <f>INDEX(FeeCalc!M:M,MATCH(C:C,FeeCalc!F:F,0))</f>
        <v>58703.321622058131</v>
      </c>
      <c r="J10" s="45">
        <f>INDEX(FeeCalc!L:L,MATCH(C:C,FeeCalc!F:F,0))</f>
        <v>900733.46892041806</v>
      </c>
      <c r="K10" s="45">
        <f t="shared" si="3"/>
        <v>959436.79054247623</v>
      </c>
      <c r="L10" s="45">
        <f>IFERROR(IFERROR(INDEX('2023 IP UPL Data'!N:N,MATCH(A:A,'2023 IP UPL Data'!B:B,0)),INDEX('2023 IMD UPL Data'!M:M,MATCH(A:A,'2023 IMD UPL Data'!B:B,0))),0)</f>
        <v>-72286.439318342615</v>
      </c>
      <c r="M10" s="45">
        <f>IFERROR((IF(F10="IMD",0,INDEX('2023 OP UPL Data'!M:M,MATCH(A:A,'2023 OP UPL Data'!B:B,0)))),0)</f>
        <v>-137741.37807947019</v>
      </c>
      <c r="N10" s="45">
        <f t="shared" si="4"/>
        <v>-210027.81739781279</v>
      </c>
      <c r="O10" s="45">
        <v>-54708.514500052632</v>
      </c>
      <c r="P10" s="45">
        <v>328044.2904041725</v>
      </c>
      <c r="Q10" s="45">
        <f t="shared" si="5"/>
        <v>273335.77590411989</v>
      </c>
      <c r="R10" s="45" t="str">
        <f t="shared" si="6"/>
        <v>No</v>
      </c>
      <c r="S10" s="46" t="str">
        <f t="shared" si="7"/>
        <v>Yes</v>
      </c>
      <c r="T10" s="47">
        <f>ROUND(INDEX(Summary!H:H,MATCH(H:H,Summary!A:A,0)),2)</f>
        <v>0</v>
      </c>
      <c r="U10" s="47">
        <f>ROUND(INDEX(Summary!I:I,MATCH(H:H,Summary!A:A,0)),2)</f>
        <v>0.17</v>
      </c>
      <c r="V10" s="85">
        <f t="shared" si="8"/>
        <v>0</v>
      </c>
      <c r="W10" s="85">
        <f t="shared" si="9"/>
        <v>153124.68971647107</v>
      </c>
      <c r="X10" s="45">
        <f t="shared" si="10"/>
        <v>153124.68971647107</v>
      </c>
      <c r="Y10" s="45" t="s">
        <v>3223</v>
      </c>
      <c r="Z10" s="45" t="str">
        <f t="shared" si="11"/>
        <v>No</v>
      </c>
      <c r="AA10" s="45" t="str">
        <f t="shared" si="12"/>
        <v>Yes</v>
      </c>
      <c r="AB10" s="45" t="str">
        <f t="shared" si="13"/>
        <v>Yes</v>
      </c>
      <c r="AC10" s="86">
        <f t="shared" si="31"/>
        <v>0</v>
      </c>
      <c r="AD10" s="86">
        <f t="shared" si="32"/>
        <v>0.14000000000000001</v>
      </c>
      <c r="AE10" s="45">
        <f t="shared" si="33"/>
        <v>0</v>
      </c>
      <c r="AF10" s="45">
        <f t="shared" si="14"/>
        <v>126102.68564885855</v>
      </c>
      <c r="AG10" s="45">
        <f t="shared" si="15"/>
        <v>126102.68564885855</v>
      </c>
      <c r="AH10" s="47">
        <f>IF(Y10="No",0,IFERROR(ROUNDDOWN(INDEX('90% of ACR'!K:K,MATCH(H:H,'90% of ACR'!A:A,0))*IF(I10&gt;0,IF(O10&gt;0,$R$4*MAX(O10-V10,0),0),0)/I10,2),0))</f>
        <v>0</v>
      </c>
      <c r="AI10" s="86">
        <f>IF(Y10="No",0,IFERROR(ROUNDDOWN(INDEX('90% of ACR'!R:R,MATCH(H:H,'90% of ACR'!A:A,0))*IF(J10&gt;0,IF(P10&gt;0,$R$4*MAX(P10-W10,0),0),0)/J10,2),0))</f>
        <v>0.13</v>
      </c>
      <c r="AJ10" s="45">
        <f t="shared" si="16"/>
        <v>0</v>
      </c>
      <c r="AK10" s="45">
        <f t="shared" si="17"/>
        <v>117095.35095965436</v>
      </c>
      <c r="AL10" s="47">
        <f t="shared" si="18"/>
        <v>0</v>
      </c>
      <c r="AM10" s="47">
        <f t="shared" si="19"/>
        <v>0.30000000000000004</v>
      </c>
      <c r="AN10" s="87">
        <f>IFERROR(INDEX(FeeCalc!P:P,MATCH(C10,FeeCalc!F:F,0)),0)</f>
        <v>270220.04067612544</v>
      </c>
      <c r="AO10" s="87">
        <f>IFERROR(INDEX(FeeCalc!S:S,MATCH(C10,FeeCalc!F:F,0)),0)</f>
        <v>16738.526266613171</v>
      </c>
      <c r="AP10" s="87">
        <f t="shared" si="20"/>
        <v>286958.5669427386</v>
      </c>
      <c r="AQ10" s="72">
        <f t="shared" si="21"/>
        <v>121765.70262794617</v>
      </c>
      <c r="AR10" s="72">
        <f t="shared" si="22"/>
        <v>60882.851313973086</v>
      </c>
      <c r="AS10" s="72">
        <f t="shared" si="23"/>
        <v>60882.851313973086</v>
      </c>
      <c r="AT10" s="72">
        <f>IFERROR(IFERROR(INDEX('2023 IP UPL Data'!L:L,MATCH(A:A,'2023 IP UPL Data'!B:B,0)),INDEX('2023 IMD UPL Data'!I:I,MATCH(A:A,'2023 IMD UPL Data'!B:B,0))),0)</f>
        <v>103697.52931834261</v>
      </c>
      <c r="AU10" s="72">
        <f>IFERROR(IF(F8="IMD",0,INDEX('2023 OP UPL Data'!J:J,MATCH(A:A,'2023 OP UPL Data'!B:B,0))),0)</f>
        <v>471958.46807947021</v>
      </c>
      <c r="AV10" s="45">
        <f t="shared" si="24"/>
        <v>575655.99739781278</v>
      </c>
      <c r="AW10" s="72">
        <f>IFERROR(IFERROR(INDEX('2023 IP UPL Data'!M:M,MATCH(A:A,'2023 IP UPL Data'!B:B,0)),INDEX('2023 IMD UPL Data'!K:K,MATCH(A:A,'2023 IMD UPL Data'!B:B,0))),0)</f>
        <v>31411.09</v>
      </c>
      <c r="AX10" s="72">
        <f>IFERROR(IF(F8="IMD",0,INDEX('2023 OP UPL Data'!L:L,MATCH(A:A,'2023 OP UPL Data'!B:B,0))),0)</f>
        <v>334217.09000000003</v>
      </c>
      <c r="AY10" s="45">
        <f t="shared" si="25"/>
        <v>365628.18000000005</v>
      </c>
      <c r="AZ10" s="72">
        <v>48989.014818289979</v>
      </c>
      <c r="BA10" s="72">
        <v>800002.75848364271</v>
      </c>
      <c r="BB10" s="72">
        <f t="shared" si="26"/>
        <v>48989.014818289979</v>
      </c>
      <c r="BC10" s="72">
        <f t="shared" si="27"/>
        <v>646878.06876717159</v>
      </c>
      <c r="BD10" s="72">
        <f t="shared" si="28"/>
        <v>695867.0835854616</v>
      </c>
      <c r="BE10" s="94">
        <f t="shared" si="29"/>
        <v>17577.924818289979</v>
      </c>
      <c r="BF10" s="94">
        <f t="shared" si="30"/>
        <v>465785.66848364269</v>
      </c>
      <c r="BG10" s="73">
        <f>IFERROR(INDEX('2023 IP UPL Data'!K:K,MATCH(A10,'2023 IP UPL Data'!B:B,0)),0)</f>
        <v>0</v>
      </c>
    </row>
    <row r="11" spans="1:59">
      <c r="A11" s="124" t="s">
        <v>768</v>
      </c>
      <c r="B11" s="31" t="s">
        <v>768</v>
      </c>
      <c r="C11" s="31" t="s">
        <v>769</v>
      </c>
      <c r="D11" s="179" t="s">
        <v>769</v>
      </c>
      <c r="E11" s="144" t="s">
        <v>3137</v>
      </c>
      <c r="F11" s="44" t="s">
        <v>2768</v>
      </c>
      <c r="G11" s="43" t="s">
        <v>1489</v>
      </c>
      <c r="H11" s="43" t="str">
        <f t="shared" si="2"/>
        <v>Rural MRSA Central</v>
      </c>
      <c r="I11" s="45">
        <f>INDEX(FeeCalc!M:M,MATCH(C:C,FeeCalc!F:F,0))</f>
        <v>14948.986308100162</v>
      </c>
      <c r="J11" s="45">
        <f>INDEX(FeeCalc!L:L,MATCH(C:C,FeeCalc!F:F,0))</f>
        <v>1385533.7006021768</v>
      </c>
      <c r="K11" s="45">
        <f t="shared" si="3"/>
        <v>1400482.686910277</v>
      </c>
      <c r="L11" s="45">
        <f>IFERROR(IFERROR(INDEX('2023 IP UPL Data'!N:N,MATCH(A:A,'2023 IP UPL Data'!B:B,0)),INDEX('2023 IMD UPL Data'!M:M,MATCH(A:A,'2023 IMD UPL Data'!B:B,0))),0)</f>
        <v>6864.6493172565188</v>
      </c>
      <c r="M11" s="45">
        <f>IFERROR((IF(F11="IMD",0,INDEX('2023 OP UPL Data'!M:M,MATCH(A:A,'2023 OP UPL Data'!B:B,0)))),0)</f>
        <v>5496.2230463577434</v>
      </c>
      <c r="N11" s="45">
        <f t="shared" si="4"/>
        <v>12360.872363614262</v>
      </c>
      <c r="O11" s="45">
        <v>-2825.1450747747522</v>
      </c>
      <c r="P11" s="45">
        <v>-174369.38998238702</v>
      </c>
      <c r="Q11" s="45">
        <f t="shared" si="5"/>
        <v>-177194.53505716176</v>
      </c>
      <c r="R11" s="45" t="str">
        <f t="shared" si="6"/>
        <v>No</v>
      </c>
      <c r="S11" s="46" t="str">
        <f t="shared" si="7"/>
        <v>No</v>
      </c>
      <c r="T11" s="47">
        <f>ROUND(INDEX(Summary!H:H,MATCH(H:H,Summary!A:A,0)),2)</f>
        <v>0</v>
      </c>
      <c r="U11" s="47">
        <f>ROUND(INDEX(Summary!I:I,MATCH(H:H,Summary!A:A,0)),2)</f>
        <v>0.17</v>
      </c>
      <c r="V11" s="85">
        <f t="shared" si="8"/>
        <v>0</v>
      </c>
      <c r="W11" s="85">
        <f t="shared" si="9"/>
        <v>235540.72910237007</v>
      </c>
      <c r="X11" s="45">
        <f t="shared" si="10"/>
        <v>235540.72910237007</v>
      </c>
      <c r="Y11" s="45" t="s">
        <v>3223</v>
      </c>
      <c r="Z11" s="45" t="str">
        <f t="shared" si="11"/>
        <v>No</v>
      </c>
      <c r="AA11" s="45" t="str">
        <f t="shared" si="12"/>
        <v>No</v>
      </c>
      <c r="AB11" s="45" t="str">
        <f t="shared" si="13"/>
        <v>No</v>
      </c>
      <c r="AC11" s="86">
        <f t="shared" si="31"/>
        <v>0</v>
      </c>
      <c r="AD11" s="86">
        <f t="shared" si="32"/>
        <v>0</v>
      </c>
      <c r="AE11" s="45">
        <f t="shared" si="33"/>
        <v>0</v>
      </c>
      <c r="AF11" s="45">
        <f t="shared" si="14"/>
        <v>0</v>
      </c>
      <c r="AG11" s="45">
        <f t="shared" si="15"/>
        <v>0</v>
      </c>
      <c r="AH11" s="47">
        <f>IF(Y11="No",0,IFERROR(ROUNDDOWN(INDEX('90% of ACR'!K:K,MATCH(H:H,'90% of ACR'!A:A,0))*IF(I11&gt;0,IF(O11&gt;0,$R$4*MAX(O11-V11,0),0),0)/I11,2),0))</f>
        <v>0</v>
      </c>
      <c r="AI11" s="86">
        <f>IF(Y11="No",0,IFERROR(ROUNDDOWN(INDEX('90% of ACR'!R:R,MATCH(H:H,'90% of ACR'!A:A,0))*IF(J11&gt;0,IF(P11&gt;0,$R$4*MAX(P11-W11,0),0),0)/J11,2),0))</f>
        <v>0</v>
      </c>
      <c r="AJ11" s="45">
        <f t="shared" si="16"/>
        <v>0</v>
      </c>
      <c r="AK11" s="45">
        <f t="shared" si="17"/>
        <v>0</v>
      </c>
      <c r="AL11" s="47">
        <f t="shared" si="18"/>
        <v>0</v>
      </c>
      <c r="AM11" s="47">
        <f t="shared" si="19"/>
        <v>0.17</v>
      </c>
      <c r="AN11" s="87">
        <f>IFERROR(INDEX(FeeCalc!P:P,MATCH(C11,FeeCalc!F:F,0)),0)</f>
        <v>235540.72910237007</v>
      </c>
      <c r="AO11" s="87">
        <f>IFERROR(INDEX(FeeCalc!S:S,MATCH(C11,FeeCalc!F:F,0)),0)</f>
        <v>14469.489337310104</v>
      </c>
      <c r="AP11" s="87">
        <f t="shared" si="20"/>
        <v>250010.21843968017</v>
      </c>
      <c r="AQ11" s="72">
        <f t="shared" si="21"/>
        <v>106087.33601094638</v>
      </c>
      <c r="AR11" s="72">
        <f t="shared" si="22"/>
        <v>53043.668005473191</v>
      </c>
      <c r="AS11" s="72">
        <f t="shared" si="23"/>
        <v>53043.668005473191</v>
      </c>
      <c r="AT11" s="72">
        <f>IFERROR(IFERROR(INDEX('2023 IP UPL Data'!L:L,MATCH(A:A,'2023 IP UPL Data'!B:B,0)),INDEX('2023 IMD UPL Data'!I:I,MATCH(A:A,'2023 IMD UPL Data'!B:B,0))),0)</f>
        <v>10413.730682743482</v>
      </c>
      <c r="AU11" s="72">
        <f>IFERROR(IF(F9="IMD",0,INDEX('2023 OP UPL Data'!J:J,MATCH(A:A,'2023 OP UPL Data'!B:B,0))),0)</f>
        <v>576779.81695364229</v>
      </c>
      <c r="AV11" s="45">
        <f t="shared" si="24"/>
        <v>587193.54763638577</v>
      </c>
      <c r="AW11" s="72">
        <f>IFERROR(IFERROR(INDEX('2023 IP UPL Data'!M:M,MATCH(A:A,'2023 IP UPL Data'!B:B,0)),INDEX('2023 IMD UPL Data'!K:K,MATCH(A:A,'2023 IMD UPL Data'!B:B,0))),0)</f>
        <v>17278.38</v>
      </c>
      <c r="AX11" s="72">
        <f>IFERROR(IF(F9="IMD",0,INDEX('2023 OP UPL Data'!L:L,MATCH(A:A,'2023 OP UPL Data'!B:B,0))),0)</f>
        <v>582276.04</v>
      </c>
      <c r="AY11" s="45">
        <f t="shared" si="25"/>
        <v>599554.42000000004</v>
      </c>
      <c r="AZ11" s="72">
        <v>7588.5856079687301</v>
      </c>
      <c r="BA11" s="72">
        <v>402410.42697125528</v>
      </c>
      <c r="BB11" s="72">
        <f t="shared" si="26"/>
        <v>7588.5856079687301</v>
      </c>
      <c r="BC11" s="72">
        <f t="shared" si="27"/>
        <v>166869.69786888521</v>
      </c>
      <c r="BD11" s="72">
        <f t="shared" si="28"/>
        <v>174458.28347685395</v>
      </c>
      <c r="BE11" s="94">
        <f t="shared" si="29"/>
        <v>0</v>
      </c>
      <c r="BF11" s="94">
        <f t="shared" si="30"/>
        <v>0</v>
      </c>
      <c r="BG11" s="73">
        <f>IFERROR(INDEX('2023 IP UPL Data'!K:K,MATCH(A11,'2023 IP UPL Data'!B:B,0)),0)</f>
        <v>0</v>
      </c>
    </row>
    <row r="12" spans="1:59">
      <c r="A12" s="124" t="s">
        <v>422</v>
      </c>
      <c r="B12" s="31" t="s">
        <v>422</v>
      </c>
      <c r="C12" s="31" t="s">
        <v>423</v>
      </c>
      <c r="D12" s="180" t="s">
        <v>423</v>
      </c>
      <c r="E12" s="144" t="s">
        <v>2978</v>
      </c>
      <c r="F12" s="44" t="s">
        <v>2768</v>
      </c>
      <c r="G12" s="43" t="s">
        <v>1202</v>
      </c>
      <c r="H12" s="43" t="str">
        <f t="shared" si="2"/>
        <v>Rural Travis</v>
      </c>
      <c r="I12" s="45">
        <f>INDEX(FeeCalc!M:M,MATCH(C:C,FeeCalc!F:F,0))</f>
        <v>178283.95734699554</v>
      </c>
      <c r="J12" s="45">
        <f>INDEX(FeeCalc!L:L,MATCH(C:C,FeeCalc!F:F,0))</f>
        <v>454526.80433773703</v>
      </c>
      <c r="K12" s="45">
        <f t="shared" si="3"/>
        <v>632810.76168473251</v>
      </c>
      <c r="L12" s="45">
        <f>IFERROR(IFERROR(INDEX('2023 IP UPL Data'!N:N,MATCH(A:A,'2023 IP UPL Data'!B:B,0)),INDEX('2023 IMD UPL Data'!M:M,MATCH(A:A,'2023 IMD UPL Data'!B:B,0))),0)</f>
        <v>-11982.223195818311</v>
      </c>
      <c r="M12" s="45">
        <f>IFERROR((IF(F12="IMD",0,INDEX('2023 OP UPL Data'!M:M,MATCH(A:A,'2023 OP UPL Data'!B:B,0)))),0)</f>
        <v>318961.18531645573</v>
      </c>
      <c r="N12" s="45">
        <f t="shared" si="4"/>
        <v>306978.96212063741</v>
      </c>
      <c r="O12" s="45">
        <v>25631.833280983541</v>
      </c>
      <c r="P12" s="45">
        <v>378942.18861410831</v>
      </c>
      <c r="Q12" s="45">
        <f t="shared" si="5"/>
        <v>404574.02189509186</v>
      </c>
      <c r="R12" s="45" t="str">
        <f t="shared" si="6"/>
        <v>Yes</v>
      </c>
      <c r="S12" s="46" t="str">
        <f t="shared" si="7"/>
        <v>Yes</v>
      </c>
      <c r="T12" s="47">
        <f>ROUND(INDEX(Summary!H:H,MATCH(H:H,Summary!A:A,0)),2)</f>
        <v>0</v>
      </c>
      <c r="U12" s="47">
        <f>ROUND(INDEX(Summary!I:I,MATCH(H:H,Summary!A:A,0)),2)</f>
        <v>0.17</v>
      </c>
      <c r="V12" s="85">
        <f t="shared" si="8"/>
        <v>0</v>
      </c>
      <c r="W12" s="85">
        <f t="shared" si="9"/>
        <v>77269.556737415303</v>
      </c>
      <c r="X12" s="45">
        <f t="shared" si="10"/>
        <v>77269.556737415303</v>
      </c>
      <c r="Y12" s="45" t="s">
        <v>3224</v>
      </c>
      <c r="Z12" s="45" t="str">
        <f t="shared" si="11"/>
        <v>No</v>
      </c>
      <c r="AA12" s="45" t="str">
        <f t="shared" si="12"/>
        <v>No</v>
      </c>
      <c r="AB12" s="45" t="str">
        <f t="shared" si="13"/>
        <v>No</v>
      </c>
      <c r="AC12" s="86">
        <f t="shared" si="31"/>
        <v>0</v>
      </c>
      <c r="AD12" s="86">
        <f t="shared" si="32"/>
        <v>0</v>
      </c>
      <c r="AE12" s="45">
        <f t="shared" si="33"/>
        <v>0</v>
      </c>
      <c r="AF12" s="45">
        <f t="shared" si="14"/>
        <v>0</v>
      </c>
      <c r="AG12" s="45">
        <f t="shared" si="15"/>
        <v>0</v>
      </c>
      <c r="AH12" s="47">
        <f>IF(Y12="No",0,IFERROR(ROUNDDOWN(INDEX('90% of ACR'!K:K,MATCH(H:H,'90% of ACR'!A:A,0))*IF(I12&gt;0,IF(O12&gt;0,$R$4*MAX(O12-V12,0),0),0)/I12,2),0))</f>
        <v>0</v>
      </c>
      <c r="AI12" s="86">
        <f>IF(Y12="No",0,IFERROR(ROUNDDOWN(INDEX('90% of ACR'!R:R,MATCH(H:H,'90% of ACR'!A:A,0))*IF(J12&gt;0,IF(P12&gt;0,$R$4*MAX(P12-W12,0),0),0)/J12,2),0))</f>
        <v>0</v>
      </c>
      <c r="AJ12" s="45">
        <f t="shared" si="16"/>
        <v>0</v>
      </c>
      <c r="AK12" s="45">
        <f t="shared" si="17"/>
        <v>0</v>
      </c>
      <c r="AL12" s="47">
        <f t="shared" si="18"/>
        <v>0</v>
      </c>
      <c r="AM12" s="47">
        <f t="shared" si="19"/>
        <v>0.17</v>
      </c>
      <c r="AN12" s="87">
        <f>IFERROR(INDEX(FeeCalc!P:P,MATCH(C12,FeeCalc!F:F,0)),0)</f>
        <v>77269.556737415303</v>
      </c>
      <c r="AO12" s="87">
        <f>IFERROR(INDEX(FeeCalc!S:S,MATCH(C12,FeeCalc!F:F,0)),0)</f>
        <v>4835.8849303162569</v>
      </c>
      <c r="AP12" s="87">
        <f t="shared" si="20"/>
        <v>82105.44166773156</v>
      </c>
      <c r="AQ12" s="72">
        <f t="shared" si="21"/>
        <v>34839.966273751874</v>
      </c>
      <c r="AR12" s="72">
        <f t="shared" si="22"/>
        <v>17419.983136875937</v>
      </c>
      <c r="AS12" s="72">
        <f t="shared" si="23"/>
        <v>17419.983136875937</v>
      </c>
      <c r="AT12" s="72">
        <f>IFERROR(IFERROR(INDEX('2023 IP UPL Data'!L:L,MATCH(A:A,'2023 IP UPL Data'!B:B,0)),INDEX('2023 IMD UPL Data'!I:I,MATCH(A:A,'2023 IMD UPL Data'!B:B,0))),0)</f>
        <v>110783.80319581831</v>
      </c>
      <c r="AU12" s="72">
        <f>IFERROR(IF(F10="IMD",0,INDEX('2023 OP UPL Data'!J:J,MATCH(A:A,'2023 OP UPL Data'!B:B,0))),0)</f>
        <v>195489.5946835443</v>
      </c>
      <c r="AV12" s="45">
        <f t="shared" si="24"/>
        <v>306273.39787936263</v>
      </c>
      <c r="AW12" s="72">
        <f>IFERROR(IFERROR(INDEX('2023 IP UPL Data'!M:M,MATCH(A:A,'2023 IP UPL Data'!B:B,0)),INDEX('2023 IMD UPL Data'!K:K,MATCH(A:A,'2023 IMD UPL Data'!B:B,0))),0)</f>
        <v>98801.58</v>
      </c>
      <c r="AX12" s="72">
        <f>IFERROR(IF(F10="IMD",0,INDEX('2023 OP UPL Data'!L:L,MATCH(A:A,'2023 OP UPL Data'!B:B,0))),0)</f>
        <v>514450.78</v>
      </c>
      <c r="AY12" s="45">
        <f t="shared" si="25"/>
        <v>613252.36</v>
      </c>
      <c r="AZ12" s="72">
        <v>136415.63647680185</v>
      </c>
      <c r="BA12" s="72">
        <v>574431.78329765261</v>
      </c>
      <c r="BB12" s="72">
        <f t="shared" si="26"/>
        <v>136415.63647680185</v>
      </c>
      <c r="BC12" s="72">
        <f t="shared" si="27"/>
        <v>497162.22656023729</v>
      </c>
      <c r="BD12" s="72">
        <f t="shared" si="28"/>
        <v>633577.86303703918</v>
      </c>
      <c r="BE12" s="94">
        <f t="shared" si="29"/>
        <v>37614.056476801852</v>
      </c>
      <c r="BF12" s="94">
        <f t="shared" si="30"/>
        <v>59981.003297652584</v>
      </c>
      <c r="BG12" s="73">
        <f>IFERROR(INDEX('2023 IP UPL Data'!K:K,MATCH(A12,'2023 IP UPL Data'!B:B,0)),0)</f>
        <v>0</v>
      </c>
    </row>
    <row r="13" spans="1:59">
      <c r="A13" s="124" t="s">
        <v>590</v>
      </c>
      <c r="B13" s="31" t="s">
        <v>590</v>
      </c>
      <c r="C13" s="31" t="s">
        <v>591</v>
      </c>
      <c r="D13" s="180" t="s">
        <v>591</v>
      </c>
      <c r="E13" s="144" t="s">
        <v>3433</v>
      </c>
      <c r="F13" s="44" t="s">
        <v>2718</v>
      </c>
      <c r="G13" s="43" t="s">
        <v>1517</v>
      </c>
      <c r="H13" s="43" t="str">
        <f t="shared" si="2"/>
        <v>Urban Hidalgo</v>
      </c>
      <c r="I13" s="45">
        <f>INDEX(FeeCalc!M:M,MATCH(C:C,FeeCalc!F:F,0))</f>
        <v>5134281.5865378659</v>
      </c>
      <c r="J13" s="45">
        <f>INDEX(FeeCalc!L:L,MATCH(C:C,FeeCalc!F:F,0))</f>
        <v>2560387.742714758</v>
      </c>
      <c r="K13" s="45">
        <f t="shared" si="3"/>
        <v>7694669.329252624</v>
      </c>
      <c r="L13" s="45">
        <f>IFERROR(IFERROR(INDEX('2023 IP UPL Data'!N:N,MATCH(A:A,'2023 IP UPL Data'!B:B,0)),INDEX('2023 IMD UPL Data'!M:M,MATCH(A:A,'2023 IMD UPL Data'!B:B,0))),0)</f>
        <v>7911145.9342011837</v>
      </c>
      <c r="M13" s="45">
        <f>IFERROR((IF(F13="IMD",0,INDEX('2023 OP UPL Data'!M:M,MATCH(A:A,'2023 OP UPL Data'!B:B,0)))),0)</f>
        <v>2750179.3956213021</v>
      </c>
      <c r="N13" s="45">
        <f t="shared" si="4"/>
        <v>10661325.329822486</v>
      </c>
      <c r="O13" s="45">
        <v>7566002.1680437597</v>
      </c>
      <c r="P13" s="45">
        <v>3280499.6539252116</v>
      </c>
      <c r="Q13" s="45">
        <f t="shared" si="5"/>
        <v>10846501.821968971</v>
      </c>
      <c r="R13" s="45" t="str">
        <f t="shared" si="6"/>
        <v>Yes</v>
      </c>
      <c r="S13" s="46" t="str">
        <f t="shared" si="7"/>
        <v>Yes</v>
      </c>
      <c r="T13" s="47">
        <f>ROUND(INDEX(Summary!H:H,MATCH(H:H,Summary!A:A,0)),2)</f>
        <v>1.21</v>
      </c>
      <c r="U13" s="47">
        <f>ROUND(INDEX(Summary!I:I,MATCH(H:H,Summary!A:A,0)),2)</f>
        <v>0.94</v>
      </c>
      <c r="V13" s="85">
        <f t="shared" si="8"/>
        <v>6212480.7197108176</v>
      </c>
      <c r="W13" s="85">
        <f t="shared" si="9"/>
        <v>2406764.4781518723</v>
      </c>
      <c r="X13" s="45">
        <f t="shared" si="10"/>
        <v>8619245.1978626903</v>
      </c>
      <c r="Y13" s="45" t="s">
        <v>3223</v>
      </c>
      <c r="Z13" s="45" t="str">
        <f t="shared" si="11"/>
        <v>Yes</v>
      </c>
      <c r="AA13" s="45" t="str">
        <f t="shared" si="12"/>
        <v>Yes</v>
      </c>
      <c r="AB13" s="45" t="str">
        <f t="shared" si="13"/>
        <v>Yes</v>
      </c>
      <c r="AC13" s="86">
        <f t="shared" si="31"/>
        <v>0.18</v>
      </c>
      <c r="AD13" s="86">
        <f t="shared" si="32"/>
        <v>0.24</v>
      </c>
      <c r="AE13" s="45">
        <f t="shared" si="33"/>
        <v>924170.68557681586</v>
      </c>
      <c r="AF13" s="45">
        <f t="shared" si="14"/>
        <v>614493.05825154192</v>
      </c>
      <c r="AG13" s="45">
        <f t="shared" si="15"/>
        <v>1538663.7438283577</v>
      </c>
      <c r="AH13" s="47">
        <f>IF(Y13="No",0,IFERROR(ROUNDDOWN(INDEX('90% of ACR'!K:K,MATCH(H:H,'90% of ACR'!A:A,0))*IF(I13&gt;0,IF(O13&gt;0,$R$4*MAX(O13-V13,0),0),0)/I13,2),0))</f>
        <v>0.17</v>
      </c>
      <c r="AI13" s="86">
        <f>IF(Y13="No",0,IFERROR(ROUNDDOWN(INDEX('90% of ACR'!R:R,MATCH(H:H,'90% of ACR'!A:A,0))*IF(J13&gt;0,IF(P13&gt;0,$R$4*MAX(P13-W13,0),0),0)/J13,2),0))</f>
        <v>0.17</v>
      </c>
      <c r="AJ13" s="45">
        <f t="shared" si="16"/>
        <v>872827.86971143726</v>
      </c>
      <c r="AK13" s="45">
        <f t="shared" si="17"/>
        <v>435265.91626150889</v>
      </c>
      <c r="AL13" s="47">
        <f t="shared" si="18"/>
        <v>1.38</v>
      </c>
      <c r="AM13" s="47">
        <f t="shared" si="19"/>
        <v>1.1099999999999999</v>
      </c>
      <c r="AN13" s="87">
        <f>IFERROR(INDEX(FeeCalc!P:P,MATCH(C13,FeeCalc!F:F,0)),0)</f>
        <v>9927338.9838356357</v>
      </c>
      <c r="AO13" s="87">
        <f>IFERROR(INDEX(FeeCalc!S:S,MATCH(C13,FeeCalc!F:F,0)),0)</f>
        <v>612241.47895840753</v>
      </c>
      <c r="AP13" s="87">
        <f t="shared" si="20"/>
        <v>10539580.462794043</v>
      </c>
      <c r="AQ13" s="72">
        <f t="shared" si="21"/>
        <v>4472281.2569383224</v>
      </c>
      <c r="AR13" s="72">
        <f t="shared" si="22"/>
        <v>2236140.6284691612</v>
      </c>
      <c r="AS13" s="72">
        <f t="shared" si="23"/>
        <v>2236140.6284691612</v>
      </c>
      <c r="AT13" s="72">
        <f>IFERROR(IFERROR(INDEX('2023 IP UPL Data'!L:L,MATCH(A:A,'2023 IP UPL Data'!B:B,0)),INDEX('2023 IMD UPL Data'!I:I,MATCH(A:A,'2023 IMD UPL Data'!B:B,0))),0)</f>
        <v>5491981.5857988158</v>
      </c>
      <c r="AU13" s="72">
        <f>IFERROR(IF(F11="IMD",0,INDEX('2023 OP UPL Data'!J:J,MATCH(A:A,'2023 OP UPL Data'!B:B,0))),0)</f>
        <v>1559254.5443786983</v>
      </c>
      <c r="AV13" s="45">
        <f t="shared" si="24"/>
        <v>7051236.1301775146</v>
      </c>
      <c r="AW13" s="72">
        <f>IFERROR(IFERROR(INDEX('2023 IP UPL Data'!M:M,MATCH(A:A,'2023 IP UPL Data'!B:B,0)),INDEX('2023 IMD UPL Data'!K:K,MATCH(A:A,'2023 IMD UPL Data'!B:B,0))),0)</f>
        <v>13403127.52</v>
      </c>
      <c r="AX13" s="72">
        <f>IFERROR(IF(F11="IMD",0,INDEX('2023 OP UPL Data'!L:L,MATCH(A:A,'2023 OP UPL Data'!B:B,0))),0)</f>
        <v>4309433.9400000004</v>
      </c>
      <c r="AY13" s="45">
        <f t="shared" si="25"/>
        <v>17712561.460000001</v>
      </c>
      <c r="AZ13" s="72">
        <v>13057983.753842575</v>
      </c>
      <c r="BA13" s="72">
        <v>4839754.19830391</v>
      </c>
      <c r="BB13" s="72">
        <f t="shared" si="26"/>
        <v>6845503.0341317579</v>
      </c>
      <c r="BC13" s="72">
        <f t="shared" si="27"/>
        <v>2432989.7201520377</v>
      </c>
      <c r="BD13" s="72">
        <f t="shared" si="28"/>
        <v>9278492.7542837951</v>
      </c>
      <c r="BE13" s="94">
        <f t="shared" si="29"/>
        <v>0</v>
      </c>
      <c r="BF13" s="94">
        <f t="shared" si="30"/>
        <v>530320.25830390956</v>
      </c>
      <c r="BG13" s="73">
        <f>IFERROR(INDEX('2023 IP UPL Data'!K:K,MATCH(A13,'2023 IP UPL Data'!B:B,0)),0)</f>
        <v>0</v>
      </c>
    </row>
    <row r="14" spans="1:59" ht="13.5" customHeight="1">
      <c r="A14" s="124" t="s">
        <v>738</v>
      </c>
      <c r="B14" s="31" t="s">
        <v>738</v>
      </c>
      <c r="C14" s="31" t="s">
        <v>739</v>
      </c>
      <c r="D14" s="180" t="s">
        <v>739</v>
      </c>
      <c r="E14" s="144" t="s">
        <v>2864</v>
      </c>
      <c r="F14" s="44" t="s">
        <v>2718</v>
      </c>
      <c r="G14" s="43" t="s">
        <v>300</v>
      </c>
      <c r="H14" s="43" t="str">
        <f t="shared" si="2"/>
        <v>Urban Harris</v>
      </c>
      <c r="I14" s="45">
        <f>INDEX(FeeCalc!M:M,MATCH(C:C,FeeCalc!F:F,0))</f>
        <v>14963235.975457884</v>
      </c>
      <c r="J14" s="45">
        <f>INDEX(FeeCalc!L:L,MATCH(C:C,FeeCalc!F:F,0))</f>
        <v>10238630.089035299</v>
      </c>
      <c r="K14" s="45">
        <f t="shared" si="3"/>
        <v>25201866.064493183</v>
      </c>
      <c r="L14" s="45">
        <f>IFERROR(IFERROR(INDEX('2023 IP UPL Data'!N:N,MATCH(A:A,'2023 IP UPL Data'!B:B,0)),INDEX('2023 IMD UPL Data'!M:M,MATCH(A:A,'2023 IMD UPL Data'!B:B,0))),0)</f>
        <v>212034101.17235297</v>
      </c>
      <c r="M14" s="45">
        <f>IFERROR((IF(F14="IMD",0,INDEX('2023 OP UPL Data'!M:M,MATCH(A:A,'2023 OP UPL Data'!B:B,0)))),0)</f>
        <v>26071753.653529406</v>
      </c>
      <c r="N14" s="45">
        <f t="shared" si="4"/>
        <v>238105854.82588238</v>
      </c>
      <c r="O14" s="45">
        <v>-51014601.419752657</v>
      </c>
      <c r="P14" s="45">
        <v>10329074.028046472</v>
      </c>
      <c r="Q14" s="45">
        <f t="shared" si="5"/>
        <v>-40685527.391706184</v>
      </c>
      <c r="R14" s="45" t="str">
        <f t="shared" si="6"/>
        <v>No</v>
      </c>
      <c r="S14" s="46" t="str">
        <f t="shared" si="7"/>
        <v>Yes</v>
      </c>
      <c r="T14" s="47">
        <f>ROUND(INDEX(Summary!H:H,MATCH(H:H,Summary!A:A,0)),2)</f>
        <v>2.59</v>
      </c>
      <c r="U14" s="47">
        <f>ROUND(INDEX(Summary!I:I,MATCH(H:H,Summary!A:A,0)),2)</f>
        <v>0.85</v>
      </c>
      <c r="V14" s="85">
        <f t="shared" si="8"/>
        <v>38754781.176435918</v>
      </c>
      <c r="W14" s="85">
        <f t="shared" si="9"/>
        <v>8702835.5756800044</v>
      </c>
      <c r="X14" s="45">
        <f t="shared" si="10"/>
        <v>47457616.75211592</v>
      </c>
      <c r="Y14" s="45" t="s">
        <v>3224</v>
      </c>
      <c r="Z14" s="45" t="str">
        <f t="shared" si="11"/>
        <v>No</v>
      </c>
      <c r="AA14" s="45" t="str">
        <f t="shared" si="12"/>
        <v>No</v>
      </c>
      <c r="AB14" s="45" t="str">
        <f t="shared" si="13"/>
        <v>No</v>
      </c>
      <c r="AC14" s="86">
        <f t="shared" si="31"/>
        <v>0</v>
      </c>
      <c r="AD14" s="86">
        <f t="shared" si="32"/>
        <v>0</v>
      </c>
      <c r="AE14" s="45">
        <f t="shared" si="33"/>
        <v>0</v>
      </c>
      <c r="AF14" s="45">
        <f t="shared" si="14"/>
        <v>0</v>
      </c>
      <c r="AG14" s="45">
        <f t="shared" si="15"/>
        <v>0</v>
      </c>
      <c r="AH14" s="47">
        <f>IF(Y14="No",0,IFERROR(ROUNDDOWN(INDEX('90% of ACR'!K:K,MATCH(H:H,'90% of ACR'!A:A,0))*IF(I14&gt;0,IF(O14&gt;0,$R$4*MAX(O14-V14,0),0),0)/I14,2),0))</f>
        <v>0</v>
      </c>
      <c r="AI14" s="86">
        <f>IF(Y14="No",0,IFERROR(ROUNDDOWN(INDEX('90% of ACR'!R:R,MATCH(H:H,'90% of ACR'!A:A,0))*IF(J14&gt;0,IF(P14&gt;0,$R$4*MAX(P14-W14,0),0),0)/J14,2),0))</f>
        <v>0</v>
      </c>
      <c r="AJ14" s="45">
        <f t="shared" si="16"/>
        <v>0</v>
      </c>
      <c r="AK14" s="45">
        <f t="shared" si="17"/>
        <v>0</v>
      </c>
      <c r="AL14" s="47">
        <f t="shared" si="18"/>
        <v>2.59</v>
      </c>
      <c r="AM14" s="47">
        <f t="shared" si="19"/>
        <v>0.85</v>
      </c>
      <c r="AN14" s="87">
        <f>IFERROR(INDEX(FeeCalc!P:P,MATCH(C14,FeeCalc!F:F,0)),0)</f>
        <v>47457616.75211592</v>
      </c>
      <c r="AO14" s="87">
        <f>IFERROR(INDEX(FeeCalc!S:S,MATCH(C14,FeeCalc!F:F,0)),0)</f>
        <v>2964891.2646165695</v>
      </c>
      <c r="AP14" s="87">
        <f t="shared" si="20"/>
        <v>50422508.016732492</v>
      </c>
      <c r="AQ14" s="72">
        <f t="shared" si="21"/>
        <v>21395883.671756133</v>
      </c>
      <c r="AR14" s="72">
        <f t="shared" si="22"/>
        <v>10697941.835878067</v>
      </c>
      <c r="AS14" s="72">
        <f t="shared" si="23"/>
        <v>10697941.835878067</v>
      </c>
      <c r="AT14" s="72">
        <f>IFERROR(IFERROR(INDEX('2023 IP UPL Data'!L:L,MATCH(A:A,'2023 IP UPL Data'!B:B,0)),INDEX('2023 IMD UPL Data'!I:I,MATCH(A:A,'2023 IMD UPL Data'!B:B,0))),0)</f>
        <v>80795410.68764706</v>
      </c>
      <c r="AU14" s="72">
        <f>IFERROR(IF(F12="IMD",0,INDEX('2023 OP UPL Data'!J:J,MATCH(A:A,'2023 OP UPL Data'!B:B,0))),0)</f>
        <v>10510997.576470589</v>
      </c>
      <c r="AV14" s="45">
        <f t="shared" si="24"/>
        <v>91306408.264117643</v>
      </c>
      <c r="AW14" s="72">
        <f>IFERROR(IFERROR(INDEX('2023 IP UPL Data'!M:M,MATCH(A:A,'2023 IP UPL Data'!B:B,0)),INDEX('2023 IMD UPL Data'!K:K,MATCH(A:A,'2023 IMD UPL Data'!B:B,0))),0)</f>
        <v>292829511.86000001</v>
      </c>
      <c r="AX14" s="72">
        <f>IFERROR(IF(F12="IMD",0,INDEX('2023 OP UPL Data'!L:L,MATCH(A:A,'2023 OP UPL Data'!B:B,0))),0)</f>
        <v>36582751.229999997</v>
      </c>
      <c r="AY14" s="45">
        <f t="shared" si="25"/>
        <v>329412263.09000003</v>
      </c>
      <c r="AZ14" s="72">
        <v>29780809.267894406</v>
      </c>
      <c r="BA14" s="72">
        <v>20840071.604517061</v>
      </c>
      <c r="BB14" s="72">
        <f t="shared" si="26"/>
        <v>0</v>
      </c>
      <c r="BC14" s="72">
        <f t="shared" si="27"/>
        <v>12137236.028837057</v>
      </c>
      <c r="BD14" s="72">
        <f t="shared" si="28"/>
        <v>3163264.1202955469</v>
      </c>
      <c r="BE14" s="94">
        <f t="shared" si="29"/>
        <v>0</v>
      </c>
      <c r="BF14" s="94">
        <f t="shared" si="30"/>
        <v>0</v>
      </c>
      <c r="BG14" s="73">
        <f>IFERROR(INDEX('2023 IP UPL Data'!K:K,MATCH(A14,'2023 IP UPL Data'!B:B,0)),0)</f>
        <v>59991078.270000003</v>
      </c>
    </row>
    <row r="15" spans="1:59">
      <c r="A15" s="124" t="s">
        <v>798</v>
      </c>
      <c r="B15" s="31" t="s">
        <v>798</v>
      </c>
      <c r="C15" s="31" t="s">
        <v>799</v>
      </c>
      <c r="D15" s="180" t="s">
        <v>799</v>
      </c>
      <c r="E15" s="144" t="s">
        <v>3434</v>
      </c>
      <c r="F15" s="44" t="s">
        <v>2768</v>
      </c>
      <c r="G15" s="43" t="s">
        <v>1555</v>
      </c>
      <c r="H15" s="43" t="str">
        <f t="shared" si="2"/>
        <v>Rural Jefferson</v>
      </c>
      <c r="I15" s="45">
        <f>INDEX(FeeCalc!M:M,MATCH(C:C,FeeCalc!F:F,0))</f>
        <v>102251.17513699598</v>
      </c>
      <c r="J15" s="45">
        <f>INDEX(FeeCalc!L:L,MATCH(C:C,FeeCalc!F:F,0))</f>
        <v>1401214.3805482863</v>
      </c>
      <c r="K15" s="45">
        <f t="shared" si="3"/>
        <v>1503465.5556852822</v>
      </c>
      <c r="L15" s="45">
        <f>IFERROR(IFERROR(INDEX('2023 IP UPL Data'!N:N,MATCH(A:A,'2023 IP UPL Data'!B:B,0)),INDEX('2023 IMD UPL Data'!M:M,MATCH(A:A,'2023 IMD UPL Data'!B:B,0))),0)</f>
        <v>36491.446439875814</v>
      </c>
      <c r="M15" s="45">
        <f>IFERROR((IF(F15="IMD",0,INDEX('2023 OP UPL Data'!M:M,MATCH(A:A,'2023 OP UPL Data'!B:B,0)))),0)</f>
        <v>325710.08290909091</v>
      </c>
      <c r="N15" s="45">
        <f t="shared" si="4"/>
        <v>362201.52934896672</v>
      </c>
      <c r="O15" s="45">
        <v>21069.553231440899</v>
      </c>
      <c r="P15" s="45">
        <v>360518.92774405947</v>
      </c>
      <c r="Q15" s="45">
        <f t="shared" si="5"/>
        <v>381588.48097550037</v>
      </c>
      <c r="R15" s="45" t="str">
        <f t="shared" si="6"/>
        <v>Yes</v>
      </c>
      <c r="S15" s="46" t="str">
        <f t="shared" si="7"/>
        <v>Yes</v>
      </c>
      <c r="T15" s="47">
        <f>ROUND(INDEX(Summary!H:H,MATCH(H:H,Summary!A:A,0)),2)</f>
        <v>0</v>
      </c>
      <c r="U15" s="47">
        <f>ROUND(INDEX(Summary!I:I,MATCH(H:H,Summary!A:A,0)),2)</f>
        <v>0.39</v>
      </c>
      <c r="V15" s="85">
        <f t="shared" si="8"/>
        <v>0</v>
      </c>
      <c r="W15" s="85">
        <f t="shared" si="9"/>
        <v>546473.60841383168</v>
      </c>
      <c r="X15" s="45">
        <f t="shared" si="10"/>
        <v>546473.60841383168</v>
      </c>
      <c r="Y15" s="45" t="s">
        <v>3223</v>
      </c>
      <c r="Z15" s="45" t="str">
        <f t="shared" si="11"/>
        <v>No</v>
      </c>
      <c r="AA15" s="45" t="str">
        <f t="shared" si="12"/>
        <v>No</v>
      </c>
      <c r="AB15" s="45" t="str">
        <f t="shared" si="13"/>
        <v>Yes</v>
      </c>
      <c r="AC15" s="86">
        <f t="shared" si="31"/>
        <v>0.14000000000000001</v>
      </c>
      <c r="AD15" s="86">
        <f t="shared" si="32"/>
        <v>0</v>
      </c>
      <c r="AE15" s="45">
        <f t="shared" si="33"/>
        <v>14315.16451917944</v>
      </c>
      <c r="AF15" s="45">
        <f t="shared" si="14"/>
        <v>0</v>
      </c>
      <c r="AG15" s="45">
        <f t="shared" si="15"/>
        <v>14315.16451917944</v>
      </c>
      <c r="AH15" s="47">
        <f>IF(Y15="No",0,IFERROR(ROUNDDOWN(INDEX('90% of ACR'!K:K,MATCH(H:H,'90% of ACR'!A:A,0))*IF(I15&gt;0,IF(O15&gt;0,$R$4*MAX(O15-V15,0),0),0)/I15,2),0))</f>
        <v>0</v>
      </c>
      <c r="AI15" s="86">
        <f>IF(Y15="No",0,IFERROR(ROUNDDOWN(INDEX('90% of ACR'!R:R,MATCH(H:H,'90% of ACR'!A:A,0))*IF(J15&gt;0,IF(P15&gt;0,$R$4*MAX(P15-W15,0),0),0)/J15,2),0))</f>
        <v>0</v>
      </c>
      <c r="AJ15" s="45">
        <f t="shared" si="16"/>
        <v>0</v>
      </c>
      <c r="AK15" s="45">
        <f t="shared" si="17"/>
        <v>0</v>
      </c>
      <c r="AL15" s="47">
        <f t="shared" si="18"/>
        <v>0</v>
      </c>
      <c r="AM15" s="47">
        <f t="shared" si="19"/>
        <v>0.39</v>
      </c>
      <c r="AN15" s="87">
        <f>IFERROR(INDEX(FeeCalc!P:P,MATCH(C15,FeeCalc!F:F,0)),0)</f>
        <v>546473.60841383168</v>
      </c>
      <c r="AO15" s="87">
        <f>IFERROR(INDEX(FeeCalc!S:S,MATCH(C15,FeeCalc!F:F,0)),0)</f>
        <v>33744.199496379908</v>
      </c>
      <c r="AP15" s="87">
        <f t="shared" si="20"/>
        <v>580217.80791021162</v>
      </c>
      <c r="AQ15" s="72">
        <f t="shared" si="21"/>
        <v>246204.98286615594</v>
      </c>
      <c r="AR15" s="72">
        <f t="shared" si="22"/>
        <v>123102.49143307797</v>
      </c>
      <c r="AS15" s="72">
        <f t="shared" si="23"/>
        <v>123102.49143307797</v>
      </c>
      <c r="AT15" s="72">
        <f>IFERROR(IFERROR(INDEX('2023 IP UPL Data'!L:L,MATCH(A:A,'2023 IP UPL Data'!B:B,0)),INDEX('2023 IMD UPL Data'!I:I,MATCH(A:A,'2023 IMD UPL Data'!B:B,0))),0)</f>
        <v>42471.493560124189</v>
      </c>
      <c r="AU15" s="72">
        <f>IFERROR(IF(F13="IMD",0,INDEX('2023 OP UPL Data'!J:J,MATCH(A:A,'2023 OP UPL Data'!B:B,0))),0)</f>
        <v>367466.6770909091</v>
      </c>
      <c r="AV15" s="45">
        <f t="shared" si="24"/>
        <v>409938.17065103329</v>
      </c>
      <c r="AW15" s="72">
        <f>IFERROR(IFERROR(INDEX('2023 IP UPL Data'!M:M,MATCH(A:A,'2023 IP UPL Data'!B:B,0)),INDEX('2023 IMD UPL Data'!K:K,MATCH(A:A,'2023 IMD UPL Data'!B:B,0))),0)</f>
        <v>78962.94</v>
      </c>
      <c r="AX15" s="72">
        <f>IFERROR(IF(F13="IMD",0,INDEX('2023 OP UPL Data'!L:L,MATCH(A:A,'2023 OP UPL Data'!B:B,0))),0)</f>
        <v>693176.76</v>
      </c>
      <c r="AY15" s="45">
        <f t="shared" si="25"/>
        <v>772139.7</v>
      </c>
      <c r="AZ15" s="72">
        <v>63541.046791565088</v>
      </c>
      <c r="BA15" s="72">
        <v>727985.60483496857</v>
      </c>
      <c r="BB15" s="72">
        <f t="shared" si="26"/>
        <v>63541.046791565088</v>
      </c>
      <c r="BC15" s="72">
        <f t="shared" si="27"/>
        <v>181511.99642113689</v>
      </c>
      <c r="BD15" s="72">
        <f t="shared" si="28"/>
        <v>245053.04321270203</v>
      </c>
      <c r="BE15" s="94">
        <f t="shared" si="29"/>
        <v>0</v>
      </c>
      <c r="BF15" s="94">
        <f t="shared" si="30"/>
        <v>34808.844834968564</v>
      </c>
      <c r="BG15" s="73">
        <f>IFERROR(INDEX('2023 IP UPL Data'!K:K,MATCH(A15,'2023 IP UPL Data'!B:B,0)),0)</f>
        <v>0</v>
      </c>
    </row>
    <row r="16" spans="1:59">
      <c r="A16" s="124" t="s">
        <v>1016</v>
      </c>
      <c r="B16" s="31" t="s">
        <v>1016</v>
      </c>
      <c r="C16" s="31" t="s">
        <v>1017</v>
      </c>
      <c r="D16" s="180" t="s">
        <v>1017</v>
      </c>
      <c r="E16" s="144" t="s">
        <v>3435</v>
      </c>
      <c r="F16" s="44" t="s">
        <v>2768</v>
      </c>
      <c r="G16" s="43" t="s">
        <v>227</v>
      </c>
      <c r="H16" s="43" t="str">
        <f t="shared" si="2"/>
        <v>Rural MRSA West</v>
      </c>
      <c r="I16" s="45">
        <f>INDEX(FeeCalc!M:M,MATCH(C:C,FeeCalc!F:F,0))</f>
        <v>1333063.2920984076</v>
      </c>
      <c r="J16" s="45">
        <f>INDEX(FeeCalc!L:L,MATCH(C:C,FeeCalc!F:F,0))</f>
        <v>1646694.5041981658</v>
      </c>
      <c r="K16" s="45">
        <f t="shared" si="3"/>
        <v>2979757.7962965732</v>
      </c>
      <c r="L16" s="45">
        <f>IFERROR(IFERROR(INDEX('2023 IP UPL Data'!N:N,MATCH(A:A,'2023 IP UPL Data'!B:B,0)),INDEX('2023 IMD UPL Data'!M:M,MATCH(A:A,'2023 IMD UPL Data'!B:B,0))),0)</f>
        <v>-74010.414991515921</v>
      </c>
      <c r="M16" s="45">
        <f>IFERROR((IF(F16="IMD",0,INDEX('2023 OP UPL Data'!M:M,MATCH(A:A,'2023 OP UPL Data'!B:B,0)))),0)</f>
        <v>181244.94050000003</v>
      </c>
      <c r="N16" s="45">
        <f t="shared" si="4"/>
        <v>107234.5255084841</v>
      </c>
      <c r="O16" s="45">
        <v>-617089.20969158644</v>
      </c>
      <c r="P16" s="45">
        <v>143255.99346765585</v>
      </c>
      <c r="Q16" s="45">
        <f t="shared" si="5"/>
        <v>-473833.21622393059</v>
      </c>
      <c r="R16" s="45" t="str">
        <f t="shared" si="6"/>
        <v>No</v>
      </c>
      <c r="S16" s="46" t="str">
        <f t="shared" si="7"/>
        <v>Yes</v>
      </c>
      <c r="T16" s="47">
        <f>ROUND(INDEX(Summary!H:H,MATCH(H:H,Summary!A:A,0)),2)</f>
        <v>0</v>
      </c>
      <c r="U16" s="47">
        <f>ROUND(INDEX(Summary!I:I,MATCH(H:H,Summary!A:A,0)),2)</f>
        <v>0.28999999999999998</v>
      </c>
      <c r="V16" s="85">
        <f t="shared" si="8"/>
        <v>0</v>
      </c>
      <c r="W16" s="85">
        <f t="shared" si="9"/>
        <v>477541.40621746809</v>
      </c>
      <c r="X16" s="45">
        <f t="shared" si="10"/>
        <v>477541.40621746809</v>
      </c>
      <c r="Y16" s="45" t="s">
        <v>3223</v>
      </c>
      <c r="Z16" s="45" t="str">
        <f t="shared" si="11"/>
        <v>No</v>
      </c>
      <c r="AA16" s="45" t="str">
        <f t="shared" si="12"/>
        <v>No</v>
      </c>
      <c r="AB16" s="45" t="str">
        <f t="shared" si="13"/>
        <v>No</v>
      </c>
      <c r="AC16" s="86">
        <f t="shared" si="31"/>
        <v>0</v>
      </c>
      <c r="AD16" s="86">
        <f t="shared" si="32"/>
        <v>0</v>
      </c>
      <c r="AE16" s="45">
        <f t="shared" si="33"/>
        <v>0</v>
      </c>
      <c r="AF16" s="45">
        <f t="shared" si="14"/>
        <v>0</v>
      </c>
      <c r="AG16" s="45">
        <f t="shared" si="15"/>
        <v>0</v>
      </c>
      <c r="AH16" s="47">
        <f>IF(Y16="No",0,IFERROR(ROUNDDOWN(INDEX('90% of ACR'!K:K,MATCH(H:H,'90% of ACR'!A:A,0))*IF(I16&gt;0,IF(O16&gt;0,$R$4*MAX(O16-V16,0),0),0)/I16,2),0))</f>
        <v>0</v>
      </c>
      <c r="AI16" s="86">
        <f>IF(Y16="No",0,IFERROR(ROUNDDOWN(INDEX('90% of ACR'!R:R,MATCH(H:H,'90% of ACR'!A:A,0))*IF(J16&gt;0,IF(P16&gt;0,$R$4*MAX(P16-W16,0),0),0)/J16,2),0))</f>
        <v>0</v>
      </c>
      <c r="AJ16" s="45">
        <f t="shared" si="16"/>
        <v>0</v>
      </c>
      <c r="AK16" s="45">
        <f t="shared" si="17"/>
        <v>0</v>
      </c>
      <c r="AL16" s="47">
        <f t="shared" si="18"/>
        <v>0</v>
      </c>
      <c r="AM16" s="47">
        <f t="shared" si="19"/>
        <v>0.28999999999999998</v>
      </c>
      <c r="AN16" s="87">
        <f>IFERROR(INDEX(FeeCalc!P:P,MATCH(C16,FeeCalc!F:F,0)),0)</f>
        <v>477541.40621746809</v>
      </c>
      <c r="AO16" s="87">
        <f>IFERROR(INDEX(FeeCalc!S:S,MATCH(C16,FeeCalc!F:F,0)),0)</f>
        <v>29312.813781534685</v>
      </c>
      <c r="AP16" s="87">
        <f t="shared" si="20"/>
        <v>506854.21999900276</v>
      </c>
      <c r="AQ16" s="72">
        <f t="shared" si="21"/>
        <v>215074.46488061687</v>
      </c>
      <c r="AR16" s="72">
        <f t="shared" si="22"/>
        <v>107537.23244030843</v>
      </c>
      <c r="AS16" s="72">
        <f t="shared" si="23"/>
        <v>107537.23244030843</v>
      </c>
      <c r="AT16" s="72">
        <f>IFERROR(IFERROR(INDEX('2023 IP UPL Data'!L:L,MATCH(A:A,'2023 IP UPL Data'!B:B,0)),INDEX('2023 IMD UPL Data'!I:I,MATCH(A:A,'2023 IMD UPL Data'!B:B,0))),0)</f>
        <v>1432834.8149915158</v>
      </c>
      <c r="AU16" s="72">
        <f>IFERROR(IF(F14="IMD",0,INDEX('2023 OP UPL Data'!J:J,MATCH(A:A,'2023 OP UPL Data'!B:B,0))),0)</f>
        <v>466389.46950000001</v>
      </c>
      <c r="AV16" s="45">
        <f t="shared" si="24"/>
        <v>1899224.2844915157</v>
      </c>
      <c r="AW16" s="72">
        <f>IFERROR(IFERROR(INDEX('2023 IP UPL Data'!M:M,MATCH(A:A,'2023 IP UPL Data'!B:B,0)),INDEX('2023 IMD UPL Data'!K:K,MATCH(A:A,'2023 IMD UPL Data'!B:B,0))),0)</f>
        <v>1358824.4</v>
      </c>
      <c r="AX16" s="72">
        <f>IFERROR(IF(F14="IMD",0,INDEX('2023 OP UPL Data'!L:L,MATCH(A:A,'2023 OP UPL Data'!B:B,0))),0)</f>
        <v>647634.41</v>
      </c>
      <c r="AY16" s="45">
        <f t="shared" si="25"/>
        <v>2006458.81</v>
      </c>
      <c r="AZ16" s="72">
        <v>815745.60529992939</v>
      </c>
      <c r="BA16" s="72">
        <v>609645.46296765585</v>
      </c>
      <c r="BB16" s="72">
        <f t="shared" si="26"/>
        <v>815745.60529992939</v>
      </c>
      <c r="BC16" s="72">
        <f t="shared" si="27"/>
        <v>132104.05675018777</v>
      </c>
      <c r="BD16" s="72">
        <f t="shared" si="28"/>
        <v>947849.66205011716</v>
      </c>
      <c r="BE16" s="94">
        <f t="shared" si="29"/>
        <v>0</v>
      </c>
      <c r="BF16" s="94">
        <f t="shared" si="30"/>
        <v>0</v>
      </c>
      <c r="BG16" s="73">
        <f>IFERROR(INDEX('2023 IP UPL Data'!K:K,MATCH(A16,'2023 IP UPL Data'!B:B,0)),0)</f>
        <v>0</v>
      </c>
    </row>
    <row r="17" spans="1:59">
      <c r="A17" s="124" t="s">
        <v>548</v>
      </c>
      <c r="B17" s="31" t="s">
        <v>548</v>
      </c>
      <c r="C17" s="31" t="s">
        <v>549</v>
      </c>
      <c r="D17" s="180" t="s">
        <v>549</v>
      </c>
      <c r="E17" s="144" t="s">
        <v>3344</v>
      </c>
      <c r="F17" s="44" t="s">
        <v>2768</v>
      </c>
      <c r="G17" s="43" t="s">
        <v>227</v>
      </c>
      <c r="H17" s="43" t="str">
        <f t="shared" si="2"/>
        <v>Rural MRSA West</v>
      </c>
      <c r="I17" s="45">
        <f>INDEX(FeeCalc!M:M,MATCH(C:C,FeeCalc!F:F,0))</f>
        <v>6552.7325668179028</v>
      </c>
      <c r="J17" s="45">
        <f>INDEX(FeeCalc!L:L,MATCH(C:C,FeeCalc!F:F,0))</f>
        <v>491367.74207731482</v>
      </c>
      <c r="K17" s="45">
        <f t="shared" si="3"/>
        <v>497920.47464413272</v>
      </c>
      <c r="L17" s="45">
        <f>IFERROR(IFERROR(INDEX('2023 IP UPL Data'!N:N,MATCH(A:A,'2023 IP UPL Data'!B:B,0)),INDEX('2023 IMD UPL Data'!M:M,MATCH(A:A,'2023 IMD UPL Data'!B:B,0))),0)</f>
        <v>-13521.742070829408</v>
      </c>
      <c r="M17" s="45">
        <f>IFERROR((IF(F17="IMD",0,INDEX('2023 OP UPL Data'!M:M,MATCH(A:A,'2023 OP UPL Data'!B:B,0)))),0)</f>
        <v>185024.90675000002</v>
      </c>
      <c r="N17" s="45">
        <f t="shared" si="4"/>
        <v>171503.16467917062</v>
      </c>
      <c r="O17" s="45">
        <v>-37672.157167407648</v>
      </c>
      <c r="P17" s="45">
        <v>167828.68918188114</v>
      </c>
      <c r="Q17" s="45">
        <f t="shared" si="5"/>
        <v>130156.53201447349</v>
      </c>
      <c r="R17" s="45" t="str">
        <f t="shared" si="6"/>
        <v>No</v>
      </c>
      <c r="S17" s="46" t="str">
        <f t="shared" si="7"/>
        <v>Yes</v>
      </c>
      <c r="T17" s="47">
        <f>ROUND(INDEX(Summary!H:H,MATCH(H:H,Summary!A:A,0)),2)</f>
        <v>0</v>
      </c>
      <c r="U17" s="47">
        <f>ROUND(INDEX(Summary!I:I,MATCH(H:H,Summary!A:A,0)),2)</f>
        <v>0.28999999999999998</v>
      </c>
      <c r="V17" s="85">
        <f t="shared" si="8"/>
        <v>0</v>
      </c>
      <c r="W17" s="85">
        <f t="shared" si="9"/>
        <v>142496.64520242129</v>
      </c>
      <c r="X17" s="45">
        <f t="shared" si="10"/>
        <v>142496.64520242129</v>
      </c>
      <c r="Y17" s="45" t="s">
        <v>3223</v>
      </c>
      <c r="Z17" s="45" t="str">
        <f t="shared" si="11"/>
        <v>No</v>
      </c>
      <c r="AA17" s="45" t="str">
        <f t="shared" si="12"/>
        <v>Yes</v>
      </c>
      <c r="AB17" s="45" t="str">
        <f t="shared" si="13"/>
        <v>Yes</v>
      </c>
      <c r="AC17" s="86">
        <f t="shared" si="31"/>
        <v>0</v>
      </c>
      <c r="AD17" s="86">
        <f t="shared" si="32"/>
        <v>0.04</v>
      </c>
      <c r="AE17" s="45">
        <f t="shared" si="33"/>
        <v>0</v>
      </c>
      <c r="AF17" s="45">
        <f t="shared" si="14"/>
        <v>19654.709683092595</v>
      </c>
      <c r="AG17" s="45">
        <f t="shared" si="15"/>
        <v>19654.709683092595</v>
      </c>
      <c r="AH17" s="47">
        <f>IF(Y17="No",0,IFERROR(ROUNDDOWN(INDEX('90% of ACR'!K:K,MATCH(H:H,'90% of ACR'!A:A,0))*IF(I17&gt;0,IF(O17&gt;0,$R$4*MAX(O17-V17,0),0),0)/I17,2),0))</f>
        <v>0</v>
      </c>
      <c r="AI17" s="86">
        <f>IF(Y17="No",0,IFERROR(ROUNDDOWN(INDEX('90% of ACR'!R:R,MATCH(H:H,'90% of ACR'!A:A,0))*IF(J17&gt;0,IF(P17&gt;0,$R$4*MAX(P17-W17,0),0),0)/J17,2),0))</f>
        <v>0.03</v>
      </c>
      <c r="AJ17" s="45">
        <f t="shared" si="16"/>
        <v>0</v>
      </c>
      <c r="AK17" s="45">
        <f t="shared" si="17"/>
        <v>14741.032262319444</v>
      </c>
      <c r="AL17" s="47">
        <f t="shared" si="18"/>
        <v>0</v>
      </c>
      <c r="AM17" s="47">
        <f t="shared" si="19"/>
        <v>0.31999999999999995</v>
      </c>
      <c r="AN17" s="87">
        <f>IFERROR(INDEX(FeeCalc!P:P,MATCH(C17,FeeCalc!F:F,0)),0)</f>
        <v>157237.67746474073</v>
      </c>
      <c r="AO17" s="87">
        <f>IFERROR(INDEX(FeeCalc!S:S,MATCH(C17,FeeCalc!F:F,0)),0)</f>
        <v>9635.7409001995184</v>
      </c>
      <c r="AP17" s="87">
        <f t="shared" si="20"/>
        <v>166873.41836494024</v>
      </c>
      <c r="AQ17" s="72">
        <f t="shared" si="21"/>
        <v>70809.731361631828</v>
      </c>
      <c r="AR17" s="72">
        <f t="shared" si="22"/>
        <v>35404.865680815914</v>
      </c>
      <c r="AS17" s="72">
        <f t="shared" si="23"/>
        <v>35404.865680815914</v>
      </c>
      <c r="AT17" s="72">
        <f>IFERROR(IFERROR(INDEX('2023 IP UPL Data'!L:L,MATCH(A:A,'2023 IP UPL Data'!B:B,0)),INDEX('2023 IMD UPL Data'!I:I,MATCH(A:A,'2023 IMD UPL Data'!B:B,0))),0)</f>
        <v>85529.722070829404</v>
      </c>
      <c r="AU17" s="72">
        <f>IFERROR(IF(F15="IMD",0,INDEX('2023 OP UPL Data'!J:J,MATCH(A:A,'2023 OP UPL Data'!B:B,0))),0)</f>
        <v>218962.30325</v>
      </c>
      <c r="AV17" s="45">
        <f t="shared" si="24"/>
        <v>304492.02532082942</v>
      </c>
      <c r="AW17" s="72">
        <f>IFERROR(IFERROR(INDEX('2023 IP UPL Data'!M:M,MATCH(A:A,'2023 IP UPL Data'!B:B,0)),INDEX('2023 IMD UPL Data'!K:K,MATCH(A:A,'2023 IMD UPL Data'!B:B,0))),0)</f>
        <v>72007.98</v>
      </c>
      <c r="AX17" s="72">
        <f>IFERROR(IF(F15="IMD",0,INDEX('2023 OP UPL Data'!L:L,MATCH(A:A,'2023 OP UPL Data'!B:B,0))),0)</f>
        <v>403987.21</v>
      </c>
      <c r="AY17" s="45">
        <f t="shared" si="25"/>
        <v>475995.19</v>
      </c>
      <c r="AZ17" s="72">
        <v>47857.564903421757</v>
      </c>
      <c r="BA17" s="72">
        <v>386790.99243188114</v>
      </c>
      <c r="BB17" s="72">
        <f t="shared" si="26"/>
        <v>47857.564903421757</v>
      </c>
      <c r="BC17" s="72">
        <f t="shared" si="27"/>
        <v>244294.34722945985</v>
      </c>
      <c r="BD17" s="72">
        <f t="shared" si="28"/>
        <v>292151.91213288158</v>
      </c>
      <c r="BE17" s="94">
        <f t="shared" si="29"/>
        <v>0</v>
      </c>
      <c r="BF17" s="94">
        <f t="shared" si="30"/>
        <v>0</v>
      </c>
      <c r="BG17" s="73">
        <f>IFERROR(INDEX('2023 IP UPL Data'!K:K,MATCH(A17,'2023 IP UPL Data'!B:B,0)),0)</f>
        <v>0</v>
      </c>
    </row>
    <row r="18" spans="1:59">
      <c r="A18" s="124" t="s">
        <v>774</v>
      </c>
      <c r="B18" s="31" t="s">
        <v>774</v>
      </c>
      <c r="C18" s="31" t="s">
        <v>775</v>
      </c>
      <c r="D18" s="180" t="s">
        <v>775</v>
      </c>
      <c r="E18" s="144" t="s">
        <v>2870</v>
      </c>
      <c r="F18" s="44" t="s">
        <v>2718</v>
      </c>
      <c r="G18" s="43" t="s">
        <v>1517</v>
      </c>
      <c r="H18" s="43" t="str">
        <f t="shared" si="2"/>
        <v>Urban Hidalgo</v>
      </c>
      <c r="I18" s="45">
        <f>INDEX(FeeCalc!M:M,MATCH(C:C,FeeCalc!F:F,0))</f>
        <v>3716757.2631905442</v>
      </c>
      <c r="J18" s="45">
        <f>INDEX(FeeCalc!L:L,MATCH(C:C,FeeCalc!F:F,0))</f>
        <v>2187681.7709782883</v>
      </c>
      <c r="K18" s="45">
        <f t="shared" si="3"/>
        <v>5904439.034168832</v>
      </c>
      <c r="L18" s="45">
        <f>IFERROR(IFERROR(INDEX('2023 IP UPL Data'!N:N,MATCH(A:A,'2023 IP UPL Data'!B:B,0)),INDEX('2023 IMD UPL Data'!M:M,MATCH(A:A,'2023 IMD UPL Data'!B:B,0))),0)</f>
        <v>9162879.3524260353</v>
      </c>
      <c r="M18" s="45">
        <f>IFERROR((IF(F18="IMD",0,INDEX('2023 OP UPL Data'!M:M,MATCH(A:A,'2023 OP UPL Data'!B:B,0)))),0)</f>
        <v>2863814.8081656802</v>
      </c>
      <c r="N18" s="45">
        <f t="shared" si="4"/>
        <v>12026694.160591716</v>
      </c>
      <c r="O18" s="45">
        <v>9754314.5325946752</v>
      </c>
      <c r="P18" s="45">
        <v>3793898.6972968066</v>
      </c>
      <c r="Q18" s="45">
        <f t="shared" si="5"/>
        <v>13548213.229891483</v>
      </c>
      <c r="R18" s="45" t="str">
        <f t="shared" si="6"/>
        <v>Yes</v>
      </c>
      <c r="S18" s="46" t="str">
        <f t="shared" si="7"/>
        <v>Yes</v>
      </c>
      <c r="T18" s="47">
        <f>ROUND(INDEX(Summary!H:H,MATCH(H:H,Summary!A:A,0)),2)</f>
        <v>1.21</v>
      </c>
      <c r="U18" s="47">
        <f>ROUND(INDEX(Summary!I:I,MATCH(H:H,Summary!A:A,0)),2)</f>
        <v>0.94</v>
      </c>
      <c r="V18" s="85">
        <f t="shared" si="8"/>
        <v>4497276.2884605583</v>
      </c>
      <c r="W18" s="85">
        <f t="shared" si="9"/>
        <v>2056420.8647195909</v>
      </c>
      <c r="X18" s="45">
        <f t="shared" si="10"/>
        <v>6553697.1531801494</v>
      </c>
      <c r="Y18" s="45" t="s">
        <v>3223</v>
      </c>
      <c r="Z18" s="45" t="str">
        <f t="shared" si="11"/>
        <v>Yes</v>
      </c>
      <c r="AA18" s="45" t="str">
        <f t="shared" si="12"/>
        <v>Yes</v>
      </c>
      <c r="AB18" s="45" t="str">
        <f t="shared" si="13"/>
        <v>Yes</v>
      </c>
      <c r="AC18" s="86">
        <f t="shared" si="31"/>
        <v>0.99</v>
      </c>
      <c r="AD18" s="86">
        <f t="shared" si="32"/>
        <v>0.55000000000000004</v>
      </c>
      <c r="AE18" s="45">
        <f t="shared" si="33"/>
        <v>3679589.6905586389</v>
      </c>
      <c r="AF18" s="45">
        <f t="shared" si="14"/>
        <v>1203224.9740380587</v>
      </c>
      <c r="AG18" s="45">
        <f t="shared" si="15"/>
        <v>4882814.6645966973</v>
      </c>
      <c r="AH18" s="47">
        <f>IF(Y18="No",0,IFERROR(ROUNDDOWN(INDEX('90% of ACR'!K:K,MATCH(H:H,'90% of ACR'!A:A,0))*IF(I18&gt;0,IF(O18&gt;0,$R$4*MAX(O18-V18,0),0),0)/I18,2),0))</f>
        <v>0.95</v>
      </c>
      <c r="AI18" s="86">
        <f>IF(Y18="No",0,IFERROR(ROUNDDOWN(INDEX('90% of ACR'!R:R,MATCH(H:H,'90% of ACR'!A:A,0))*IF(J18&gt;0,IF(P18&gt;0,$R$4*MAX(P18-W18,0),0),0)/J18,2),0))</f>
        <v>0.4</v>
      </c>
      <c r="AJ18" s="45">
        <f t="shared" si="16"/>
        <v>3530919.4000310167</v>
      </c>
      <c r="AK18" s="45">
        <f t="shared" si="17"/>
        <v>875072.7083913153</v>
      </c>
      <c r="AL18" s="47">
        <f t="shared" si="18"/>
        <v>2.16</v>
      </c>
      <c r="AM18" s="47">
        <f t="shared" si="19"/>
        <v>1.3399999999999999</v>
      </c>
      <c r="AN18" s="87">
        <f>IFERROR(INDEX(FeeCalc!P:P,MATCH(C18,FeeCalc!F:F,0)),0)</f>
        <v>10959689.261602482</v>
      </c>
      <c r="AO18" s="87">
        <f>IFERROR(INDEX(FeeCalc!S:S,MATCH(C18,FeeCalc!F:F,0)),0)</f>
        <v>678990.56901896046</v>
      </c>
      <c r="AP18" s="87">
        <f t="shared" si="20"/>
        <v>11638679.830621442</v>
      </c>
      <c r="AQ18" s="72">
        <f t="shared" si="21"/>
        <v>4938664.2898872588</v>
      </c>
      <c r="AR18" s="72">
        <f t="shared" si="22"/>
        <v>2469332.1449436294</v>
      </c>
      <c r="AS18" s="72">
        <f t="shared" si="23"/>
        <v>2469332.1449436294</v>
      </c>
      <c r="AT18" s="72">
        <f>IFERROR(IFERROR(INDEX('2023 IP UPL Data'!L:L,MATCH(A:A,'2023 IP UPL Data'!B:B,0)),INDEX('2023 IMD UPL Data'!I:I,MATCH(A:A,'2023 IMD UPL Data'!B:B,0))),0)</f>
        <v>4577985.8875739649</v>
      </c>
      <c r="AU18" s="72">
        <f>IFERROR(IF(F16="IMD",0,INDEX('2023 OP UPL Data'!J:J,MATCH(A:A,'2023 OP UPL Data'!B:B,0))),0)</f>
        <v>1171462.0118343197</v>
      </c>
      <c r="AV18" s="45">
        <f t="shared" si="24"/>
        <v>5749447.8994082846</v>
      </c>
      <c r="AW18" s="72">
        <f>IFERROR(IFERROR(INDEX('2023 IP UPL Data'!M:M,MATCH(A:A,'2023 IP UPL Data'!B:B,0)),INDEX('2023 IMD UPL Data'!K:K,MATCH(A:A,'2023 IMD UPL Data'!B:B,0))),0)</f>
        <v>13740865.24</v>
      </c>
      <c r="AX18" s="72">
        <f>IFERROR(IF(F16="IMD",0,INDEX('2023 OP UPL Data'!L:L,MATCH(A:A,'2023 OP UPL Data'!B:B,0))),0)</f>
        <v>4035276.82</v>
      </c>
      <c r="AY18" s="45">
        <f t="shared" si="25"/>
        <v>17776142.059999999</v>
      </c>
      <c r="AZ18" s="72">
        <v>14332300.42016864</v>
      </c>
      <c r="BA18" s="72">
        <v>4965360.7091311263</v>
      </c>
      <c r="BB18" s="72">
        <f t="shared" si="26"/>
        <v>9835024.1317080818</v>
      </c>
      <c r="BC18" s="72">
        <f t="shared" si="27"/>
        <v>2908939.8444115352</v>
      </c>
      <c r="BD18" s="72">
        <f t="shared" si="28"/>
        <v>12743963.976119619</v>
      </c>
      <c r="BE18" s="94">
        <f t="shared" si="29"/>
        <v>591435.18016863987</v>
      </c>
      <c r="BF18" s="94">
        <f t="shared" si="30"/>
        <v>930083.88913112646</v>
      </c>
      <c r="BG18" s="73">
        <f>IFERROR(INDEX('2023 IP UPL Data'!K:K,MATCH(A18,'2023 IP UPL Data'!B:B,0)),0)</f>
        <v>0</v>
      </c>
    </row>
    <row r="19" spans="1:59">
      <c r="A19" s="124" t="s">
        <v>735</v>
      </c>
      <c r="B19" s="31" t="s">
        <v>735</v>
      </c>
      <c r="C19" s="31" t="s">
        <v>736</v>
      </c>
      <c r="D19" s="180" t="s">
        <v>736</v>
      </c>
      <c r="E19" s="144" t="s">
        <v>3101</v>
      </c>
      <c r="F19" s="44" t="s">
        <v>2768</v>
      </c>
      <c r="G19" s="43" t="s">
        <v>227</v>
      </c>
      <c r="H19" s="43" t="str">
        <f t="shared" si="2"/>
        <v>Rural MRSA West</v>
      </c>
      <c r="I19" s="45">
        <f>INDEX(FeeCalc!M:M,MATCH(C:C,FeeCalc!F:F,0))</f>
        <v>39470.184723651531</v>
      </c>
      <c r="J19" s="45">
        <f>INDEX(FeeCalc!L:L,MATCH(C:C,FeeCalc!F:F,0))</f>
        <v>503734.81762383436</v>
      </c>
      <c r="K19" s="45">
        <f t="shared" si="3"/>
        <v>543205.00234748586</v>
      </c>
      <c r="L19" s="45">
        <f>IFERROR(IFERROR(INDEX('2023 IP UPL Data'!N:N,MATCH(A:A,'2023 IP UPL Data'!B:B,0)),INDEX('2023 IMD UPL Data'!M:M,MATCH(A:A,'2023 IMD UPL Data'!B:B,0))),0)</f>
        <v>55168.576554006373</v>
      </c>
      <c r="M19" s="45">
        <f>IFERROR((IF(F19="IMD",0,INDEX('2023 OP UPL Data'!M:M,MATCH(A:A,'2023 OP UPL Data'!B:B,0)))),0)</f>
        <v>94690.242250000068</v>
      </c>
      <c r="N19" s="45">
        <f t="shared" si="4"/>
        <v>149858.81880400644</v>
      </c>
      <c r="O19" s="45">
        <v>-22823.908434492187</v>
      </c>
      <c r="P19" s="45">
        <v>-2171.2941332856717</v>
      </c>
      <c r="Q19" s="45">
        <f t="shared" si="5"/>
        <v>-24995.202567777858</v>
      </c>
      <c r="R19" s="45" t="str">
        <f t="shared" si="6"/>
        <v>No</v>
      </c>
      <c r="S19" s="46" t="str">
        <f t="shared" si="7"/>
        <v>No</v>
      </c>
      <c r="T19" s="47">
        <f>ROUND(INDEX(Summary!H:H,MATCH(H:H,Summary!A:A,0)),2)</f>
        <v>0</v>
      </c>
      <c r="U19" s="47">
        <f>ROUND(INDEX(Summary!I:I,MATCH(H:H,Summary!A:A,0)),2)</f>
        <v>0.28999999999999998</v>
      </c>
      <c r="V19" s="85">
        <f t="shared" si="8"/>
        <v>0</v>
      </c>
      <c r="W19" s="85">
        <f t="shared" si="9"/>
        <v>146083.09711091194</v>
      </c>
      <c r="X19" s="45">
        <f t="shared" si="10"/>
        <v>146083.09711091194</v>
      </c>
      <c r="Y19" s="45" t="s">
        <v>3223</v>
      </c>
      <c r="Z19" s="45" t="str">
        <f t="shared" si="11"/>
        <v>No</v>
      </c>
      <c r="AA19" s="45" t="str">
        <f t="shared" si="12"/>
        <v>No</v>
      </c>
      <c r="AB19" s="45" t="str">
        <f t="shared" si="13"/>
        <v>No</v>
      </c>
      <c r="AC19" s="86">
        <f t="shared" si="31"/>
        <v>0</v>
      </c>
      <c r="AD19" s="86">
        <f t="shared" si="32"/>
        <v>0</v>
      </c>
      <c r="AE19" s="45">
        <f t="shared" si="33"/>
        <v>0</v>
      </c>
      <c r="AF19" s="45">
        <f t="shared" si="14"/>
        <v>0</v>
      </c>
      <c r="AG19" s="45">
        <f t="shared" si="15"/>
        <v>0</v>
      </c>
      <c r="AH19" s="47">
        <f>IF(Y19="No",0,IFERROR(ROUNDDOWN(INDEX('90% of ACR'!K:K,MATCH(H:H,'90% of ACR'!A:A,0))*IF(I19&gt;0,IF(O19&gt;0,$R$4*MAX(O19-V19,0),0),0)/I19,2),0))</f>
        <v>0</v>
      </c>
      <c r="AI19" s="86">
        <f>IF(Y19="No",0,IFERROR(ROUNDDOWN(INDEX('90% of ACR'!R:R,MATCH(H:H,'90% of ACR'!A:A,0))*IF(J19&gt;0,IF(P19&gt;0,$R$4*MAX(P19-W19,0),0),0)/J19,2),0))</f>
        <v>0</v>
      </c>
      <c r="AJ19" s="45">
        <f t="shared" si="16"/>
        <v>0</v>
      </c>
      <c r="AK19" s="45">
        <f t="shared" si="17"/>
        <v>0</v>
      </c>
      <c r="AL19" s="47">
        <f t="shared" si="18"/>
        <v>0</v>
      </c>
      <c r="AM19" s="47">
        <f t="shared" si="19"/>
        <v>0.28999999999999998</v>
      </c>
      <c r="AN19" s="87">
        <f>IFERROR(INDEX(FeeCalc!P:P,MATCH(C19,FeeCalc!F:F,0)),0)</f>
        <v>146083.09711091194</v>
      </c>
      <c r="AO19" s="87">
        <f>IFERROR(INDEX(FeeCalc!S:S,MATCH(C19,FeeCalc!F:F,0)),0)</f>
        <v>9053.2340697533145</v>
      </c>
      <c r="AP19" s="87">
        <f t="shared" si="20"/>
        <v>155136.33118066526</v>
      </c>
      <c r="AQ19" s="72">
        <f t="shared" si="21"/>
        <v>65829.309682554071</v>
      </c>
      <c r="AR19" s="72">
        <f t="shared" si="22"/>
        <v>32914.654841277035</v>
      </c>
      <c r="AS19" s="72">
        <f t="shared" si="23"/>
        <v>32914.654841277035</v>
      </c>
      <c r="AT19" s="72">
        <f>IFERROR(IFERROR(INDEX('2023 IP UPL Data'!L:L,MATCH(A:A,'2023 IP UPL Data'!B:B,0)),INDEX('2023 IMD UPL Data'!I:I,MATCH(A:A,'2023 IMD UPL Data'!B:B,0))),0)</f>
        <v>40003.483445993625</v>
      </c>
      <c r="AU19" s="72">
        <f>IFERROR(IF(F17="IMD",0,INDEX('2023 OP UPL Data'!J:J,MATCH(A:A,'2023 OP UPL Data'!B:B,0))),0)</f>
        <v>250908.71774999995</v>
      </c>
      <c r="AV19" s="45">
        <f t="shared" si="24"/>
        <v>290912.20119599358</v>
      </c>
      <c r="AW19" s="72">
        <f>IFERROR(IFERROR(INDEX('2023 IP UPL Data'!M:M,MATCH(A:A,'2023 IP UPL Data'!B:B,0)),INDEX('2023 IMD UPL Data'!K:K,MATCH(A:A,'2023 IMD UPL Data'!B:B,0))),0)</f>
        <v>95172.06</v>
      </c>
      <c r="AX19" s="72">
        <f>IFERROR(IF(F17="IMD",0,INDEX('2023 OP UPL Data'!L:L,MATCH(A:A,'2023 OP UPL Data'!B:B,0))),0)</f>
        <v>345598.96</v>
      </c>
      <c r="AY19" s="45">
        <f t="shared" si="25"/>
        <v>440771.02</v>
      </c>
      <c r="AZ19" s="72">
        <v>17179.575011501438</v>
      </c>
      <c r="BA19" s="72">
        <v>248737.42361671428</v>
      </c>
      <c r="BB19" s="72">
        <f t="shared" si="26"/>
        <v>17179.575011501438</v>
      </c>
      <c r="BC19" s="72">
        <f t="shared" si="27"/>
        <v>102654.32650580234</v>
      </c>
      <c r="BD19" s="72">
        <f t="shared" si="28"/>
        <v>119833.90151730381</v>
      </c>
      <c r="BE19" s="94">
        <f t="shared" si="29"/>
        <v>0</v>
      </c>
      <c r="BF19" s="94">
        <f t="shared" si="30"/>
        <v>0</v>
      </c>
      <c r="BG19" s="73">
        <f>IFERROR(INDEX('2023 IP UPL Data'!K:K,MATCH(A19,'2023 IP UPL Data'!B:B,0)),0)</f>
        <v>0</v>
      </c>
    </row>
    <row r="20" spans="1:59">
      <c r="A20" s="124" t="s">
        <v>1681</v>
      </c>
      <c r="B20" s="31" t="s">
        <v>1681</v>
      </c>
      <c r="C20" s="31" t="s">
        <v>1683</v>
      </c>
      <c r="D20" s="180" t="s">
        <v>1683</v>
      </c>
      <c r="E20" s="144" t="s">
        <v>3313</v>
      </c>
      <c r="F20" s="44" t="s">
        <v>2768</v>
      </c>
      <c r="G20" s="43" t="s">
        <v>227</v>
      </c>
      <c r="H20" s="43" t="str">
        <f t="shared" si="2"/>
        <v>Rural MRSA West</v>
      </c>
      <c r="I20" s="45">
        <f>INDEX(FeeCalc!M:M,MATCH(C:C,FeeCalc!F:F,0))</f>
        <v>47604.837216973421</v>
      </c>
      <c r="J20" s="45">
        <f>INDEX(FeeCalc!L:L,MATCH(C:C,FeeCalc!F:F,0))</f>
        <v>664949.67536424927</v>
      </c>
      <c r="K20" s="45">
        <f t="shared" si="3"/>
        <v>712554.51258122269</v>
      </c>
      <c r="L20" s="45">
        <f>IFERROR(IFERROR(INDEX('2023 IP UPL Data'!N:N,MATCH(A:A,'2023 IP UPL Data'!B:B,0)),INDEX('2023 IMD UPL Data'!M:M,MATCH(A:A,'2023 IMD UPL Data'!B:B,0))),0)</f>
        <v>7841.1045750462545</v>
      </c>
      <c r="M20" s="45">
        <f>IFERROR((IF(F20="IMD",0,INDEX('2023 OP UPL Data'!M:M,MATCH(A:A,'2023 OP UPL Data'!B:B,0)))),0)</f>
        <v>122575.52000000002</v>
      </c>
      <c r="N20" s="45">
        <f t="shared" si="4"/>
        <v>130416.62457504627</v>
      </c>
      <c r="O20" s="45">
        <v>5876.5979083795864</v>
      </c>
      <c r="P20" s="45">
        <v>341488.95543157897</v>
      </c>
      <c r="Q20" s="45">
        <f t="shared" si="5"/>
        <v>347365.55333995854</v>
      </c>
      <c r="R20" s="45" t="str">
        <f t="shared" si="6"/>
        <v>Yes</v>
      </c>
      <c r="S20" s="46" t="str">
        <f t="shared" si="7"/>
        <v>Yes</v>
      </c>
      <c r="T20" s="47">
        <f>ROUND(INDEX(Summary!H:H,MATCH(H:H,Summary!A:A,0)),2)</f>
        <v>0</v>
      </c>
      <c r="U20" s="47">
        <f>ROUND(INDEX(Summary!I:I,MATCH(H:H,Summary!A:A,0)),2)</f>
        <v>0.28999999999999998</v>
      </c>
      <c r="V20" s="85">
        <f t="shared" si="8"/>
        <v>0</v>
      </c>
      <c r="W20" s="85">
        <f t="shared" si="9"/>
        <v>192835.40585563227</v>
      </c>
      <c r="X20" s="45">
        <f t="shared" si="10"/>
        <v>192835.40585563227</v>
      </c>
      <c r="Y20" s="45" t="s">
        <v>3224</v>
      </c>
      <c r="Z20" s="45" t="str">
        <f t="shared" si="11"/>
        <v>No</v>
      </c>
      <c r="AA20" s="45" t="str">
        <f t="shared" si="12"/>
        <v>No</v>
      </c>
      <c r="AB20" s="45" t="str">
        <f t="shared" si="13"/>
        <v>No</v>
      </c>
      <c r="AC20" s="86">
        <f t="shared" si="31"/>
        <v>0</v>
      </c>
      <c r="AD20" s="86">
        <f t="shared" si="32"/>
        <v>0</v>
      </c>
      <c r="AE20" s="45">
        <f t="shared" si="33"/>
        <v>0</v>
      </c>
      <c r="AF20" s="45">
        <f t="shared" si="14"/>
        <v>0</v>
      </c>
      <c r="AG20" s="45">
        <f t="shared" si="15"/>
        <v>0</v>
      </c>
      <c r="AH20" s="47">
        <f>IF(Y20="No",0,IFERROR(ROUNDDOWN(INDEX('90% of ACR'!K:K,MATCH(H:H,'90% of ACR'!A:A,0))*IF(I20&gt;0,IF(O20&gt;0,$R$4*MAX(O20-V20,0),0),0)/I20,2),0))</f>
        <v>0</v>
      </c>
      <c r="AI20" s="86">
        <f>IF(Y20="No",0,IFERROR(ROUNDDOWN(INDEX('90% of ACR'!R:R,MATCH(H:H,'90% of ACR'!A:A,0))*IF(J20&gt;0,IF(P20&gt;0,$R$4*MAX(P20-W20,0),0),0)/J20,2),0))</f>
        <v>0</v>
      </c>
      <c r="AJ20" s="45">
        <f t="shared" si="16"/>
        <v>0</v>
      </c>
      <c r="AK20" s="45">
        <f t="shared" si="17"/>
        <v>0</v>
      </c>
      <c r="AL20" s="47">
        <f t="shared" si="18"/>
        <v>0</v>
      </c>
      <c r="AM20" s="47">
        <f t="shared" si="19"/>
        <v>0.28999999999999998</v>
      </c>
      <c r="AN20" s="87">
        <f>IFERROR(INDEX(FeeCalc!P:P,MATCH(C20,FeeCalc!F:F,0)),0)</f>
        <v>192835.40585563227</v>
      </c>
      <c r="AO20" s="87">
        <f>IFERROR(INDEX(FeeCalc!S:S,MATCH(C20,FeeCalc!F:F,0)),0)</f>
        <v>11882.558407020599</v>
      </c>
      <c r="AP20" s="87">
        <f t="shared" si="20"/>
        <v>204717.96426265288</v>
      </c>
      <c r="AQ20" s="72">
        <f t="shared" si="21"/>
        <v>86868.38321150004</v>
      </c>
      <c r="AR20" s="72">
        <f t="shared" si="22"/>
        <v>43434.19160575002</v>
      </c>
      <c r="AS20" s="72">
        <f t="shared" si="23"/>
        <v>43434.19160575002</v>
      </c>
      <c r="AT20" s="72">
        <f>IFERROR(IFERROR(INDEX('2023 IP UPL Data'!L:L,MATCH(A:A,'2023 IP UPL Data'!B:B,0)),INDEX('2023 IMD UPL Data'!I:I,MATCH(A:A,'2023 IMD UPL Data'!B:B,0))),0)</f>
        <v>26594.555424953749</v>
      </c>
      <c r="AU20" s="72">
        <f>IFERROR(IF(F18="IMD",0,INDEX('2023 OP UPL Data'!J:J,MATCH(A:A,'2023 OP UPL Data'!B:B,0))),0)</f>
        <v>160314.89999999997</v>
      </c>
      <c r="AV20" s="45">
        <f t="shared" si="24"/>
        <v>186909.45542495372</v>
      </c>
      <c r="AW20" s="72">
        <f>IFERROR(IFERROR(INDEX('2023 IP UPL Data'!M:M,MATCH(A:A,'2023 IP UPL Data'!B:B,0)),INDEX('2023 IMD UPL Data'!K:K,MATCH(A:A,'2023 IMD UPL Data'!B:B,0))),0)</f>
        <v>34435.660000000003</v>
      </c>
      <c r="AX20" s="72">
        <f>IFERROR(IF(F18="IMD",0,INDEX('2023 OP UPL Data'!L:L,MATCH(A:A,'2023 OP UPL Data'!B:B,0))),0)</f>
        <v>282890.42</v>
      </c>
      <c r="AY20" s="45">
        <f t="shared" si="25"/>
        <v>317326.07999999996</v>
      </c>
      <c r="AZ20" s="72">
        <v>32471.153333333335</v>
      </c>
      <c r="BA20" s="72">
        <v>501803.85543157894</v>
      </c>
      <c r="BB20" s="72">
        <f t="shared" si="26"/>
        <v>32471.153333333335</v>
      </c>
      <c r="BC20" s="72">
        <f t="shared" si="27"/>
        <v>308968.44957594667</v>
      </c>
      <c r="BD20" s="72">
        <f t="shared" si="28"/>
        <v>341439.60290927999</v>
      </c>
      <c r="BE20" s="94">
        <f t="shared" si="29"/>
        <v>0</v>
      </c>
      <c r="BF20" s="94">
        <f t="shared" si="30"/>
        <v>218913.43543157895</v>
      </c>
      <c r="BG20" s="73">
        <f>IFERROR(INDEX('2023 IP UPL Data'!K:K,MATCH(A20,'2023 IP UPL Data'!B:B,0)),0)</f>
        <v>0</v>
      </c>
    </row>
    <row r="21" spans="1:59">
      <c r="A21" s="124" t="s">
        <v>114</v>
      </c>
      <c r="B21" s="31" t="s">
        <v>114</v>
      </c>
      <c r="C21" s="31" t="s">
        <v>115</v>
      </c>
      <c r="D21" s="180" t="s">
        <v>115</v>
      </c>
      <c r="E21" s="144" t="s">
        <v>2872</v>
      </c>
      <c r="F21" s="44" t="s">
        <v>1552</v>
      </c>
      <c r="G21" s="43" t="s">
        <v>1553</v>
      </c>
      <c r="H21" s="43" t="str">
        <f t="shared" si="2"/>
        <v>Children's Nueces</v>
      </c>
      <c r="I21" s="45">
        <f>INDEX(FeeCalc!M:M,MATCH(C:C,FeeCalc!F:F,0))</f>
        <v>69091979.524985224</v>
      </c>
      <c r="J21" s="45">
        <f>INDEX(FeeCalc!L:L,MATCH(C:C,FeeCalc!F:F,0))</f>
        <v>81877843.97228919</v>
      </c>
      <c r="K21" s="45">
        <f t="shared" si="3"/>
        <v>150969823.4972744</v>
      </c>
      <c r="L21" s="45">
        <f>IFERROR(IFERROR(INDEX('2023 IP UPL Data'!N:N,MATCH(A:A,'2023 IP UPL Data'!B:B,0)),INDEX('2023 IMD UPL Data'!M:M,MATCH(A:A,'2023 IMD UPL Data'!B:B,0))),0)</f>
        <v>200457984.71999997</v>
      </c>
      <c r="M21" s="45">
        <f>IFERROR((IF(F21="IMD",0,INDEX('2023 OP UPL Data'!M:M,MATCH(A:A,'2023 OP UPL Data'!B:B,0)))),0)</f>
        <v>51060004.049999997</v>
      </c>
      <c r="N21" s="45">
        <f t="shared" si="4"/>
        <v>251517988.76999998</v>
      </c>
      <c r="O21" s="45">
        <v>122509593.23360074</v>
      </c>
      <c r="P21" s="45">
        <v>53482476.626995027</v>
      </c>
      <c r="Q21" s="45">
        <f t="shared" si="5"/>
        <v>175992069.86059576</v>
      </c>
      <c r="R21" s="45" t="str">
        <f t="shared" si="6"/>
        <v>Yes</v>
      </c>
      <c r="S21" s="46" t="str">
        <f t="shared" si="7"/>
        <v>Yes</v>
      </c>
      <c r="T21" s="47">
        <f>ROUND(INDEX(Summary!H:H,MATCH(H:H,Summary!A:A,0)),2)</f>
        <v>2.9</v>
      </c>
      <c r="U21" s="47">
        <f>ROUND(INDEX(Summary!I:I,MATCH(H:H,Summary!A:A,0)),2)</f>
        <v>0.62</v>
      </c>
      <c r="V21" s="85">
        <f t="shared" si="8"/>
        <v>200366740.62245715</v>
      </c>
      <c r="W21" s="85">
        <f t="shared" si="9"/>
        <v>50764263.262819298</v>
      </c>
      <c r="X21" s="45">
        <f t="shared" si="10"/>
        <v>251131003.88527644</v>
      </c>
      <c r="Y21" s="45" t="s">
        <v>3223</v>
      </c>
      <c r="Z21" s="45" t="str">
        <f t="shared" si="11"/>
        <v>No</v>
      </c>
      <c r="AA21" s="45" t="str">
        <f t="shared" si="12"/>
        <v>No</v>
      </c>
      <c r="AB21" s="45" t="str">
        <f t="shared" si="13"/>
        <v>Yes</v>
      </c>
      <c r="AC21" s="86">
        <f t="shared" si="31"/>
        <v>0</v>
      </c>
      <c r="AD21" s="86">
        <f t="shared" si="32"/>
        <v>0.02</v>
      </c>
      <c r="AE21" s="45">
        <f t="shared" si="33"/>
        <v>0</v>
      </c>
      <c r="AF21" s="45">
        <f t="shared" si="14"/>
        <v>1637556.8794457838</v>
      </c>
      <c r="AG21" s="45">
        <f t="shared" si="15"/>
        <v>1637556.8794457838</v>
      </c>
      <c r="AH21" s="47">
        <f>IF(Y21="No",0,IFERROR(ROUNDDOWN(INDEX('90% of ACR'!K:K,MATCH(H:H,'90% of ACR'!A:A,0))*IF(I21&gt;0,IF(O21&gt;0,$R$4*MAX(O21-V21,0),0),0)/I21,2),0))</f>
        <v>0</v>
      </c>
      <c r="AI21" s="86">
        <f>IF(Y21="No",0,IFERROR(ROUNDDOWN(INDEX('90% of ACR'!R:R,MATCH(H:H,'90% of ACR'!A:A,0))*IF(J21&gt;0,IF(P21&gt;0,$R$4*MAX(P21-W21,0),0),0)/J21,2),0))</f>
        <v>0</v>
      </c>
      <c r="AJ21" s="45">
        <f t="shared" si="16"/>
        <v>0</v>
      </c>
      <c r="AK21" s="45">
        <f t="shared" si="17"/>
        <v>0</v>
      </c>
      <c r="AL21" s="47">
        <f t="shared" si="18"/>
        <v>2.9</v>
      </c>
      <c r="AM21" s="47">
        <f t="shared" si="19"/>
        <v>0.62</v>
      </c>
      <c r="AN21" s="87">
        <f>IFERROR(INDEX(FeeCalc!P:P,MATCH(C21,FeeCalc!F:F,0)),0)</f>
        <v>251131003.88527644</v>
      </c>
      <c r="AO21" s="87">
        <f>IFERROR(INDEX(FeeCalc!S:S,MATCH(C21,FeeCalc!F:F,0)),0)</f>
        <v>15322496.407447586</v>
      </c>
      <c r="AP21" s="87">
        <f t="shared" si="20"/>
        <v>266453500.29272401</v>
      </c>
      <c r="AQ21" s="72">
        <f t="shared" si="21"/>
        <v>113064746.68621217</v>
      </c>
      <c r="AR21" s="72">
        <f t="shared" si="22"/>
        <v>56532373.343106084</v>
      </c>
      <c r="AS21" s="72">
        <f t="shared" si="23"/>
        <v>56532373.343106084</v>
      </c>
      <c r="AT21" s="72">
        <f>IFERROR(IFERROR(INDEX('2023 IP UPL Data'!L:L,MATCH(A:A,'2023 IP UPL Data'!B:B,0)),INDEX('2023 IMD UPL Data'!I:I,MATCH(A:A,'2023 IMD UPL Data'!B:B,0))),0)</f>
        <v>69108279.49000001</v>
      </c>
      <c r="AU21" s="72">
        <f>IFERROR(IF(F19="IMD",0,INDEX('2023 OP UPL Data'!J:J,MATCH(A:A,'2023 OP UPL Data'!B:B,0))),0)</f>
        <v>42369101.760000005</v>
      </c>
      <c r="AV21" s="45">
        <f t="shared" si="24"/>
        <v>111477381.25000001</v>
      </c>
      <c r="AW21" s="72">
        <f>IFERROR(IFERROR(INDEX('2023 IP UPL Data'!M:M,MATCH(A:A,'2023 IP UPL Data'!B:B,0)),INDEX('2023 IMD UPL Data'!K:K,MATCH(A:A,'2023 IMD UPL Data'!B:B,0))),0)</f>
        <v>269566264.20999998</v>
      </c>
      <c r="AX21" s="72">
        <f>IFERROR(IF(F19="IMD",0,INDEX('2023 OP UPL Data'!L:L,MATCH(A:A,'2023 OP UPL Data'!B:B,0))),0)</f>
        <v>93429105.810000002</v>
      </c>
      <c r="AY21" s="45">
        <f t="shared" si="25"/>
        <v>362995370.01999998</v>
      </c>
      <c r="AZ21" s="72">
        <v>191617872.72360075</v>
      </c>
      <c r="BA21" s="72">
        <v>95851578.386995032</v>
      </c>
      <c r="BB21" s="72">
        <f t="shared" si="26"/>
        <v>0</v>
      </c>
      <c r="BC21" s="72">
        <f t="shared" si="27"/>
        <v>45087315.124175735</v>
      </c>
      <c r="BD21" s="72">
        <f t="shared" si="28"/>
        <v>36338447.225319326</v>
      </c>
      <c r="BE21" s="94">
        <f t="shared" si="29"/>
        <v>0</v>
      </c>
      <c r="BF21" s="94">
        <f t="shared" si="30"/>
        <v>2422472.57699503</v>
      </c>
      <c r="BG21" s="73">
        <f>IFERROR(INDEX('2023 IP UPL Data'!K:K,MATCH(A21,'2023 IP UPL Data'!B:B,0)),0)</f>
        <v>0</v>
      </c>
    </row>
    <row r="22" spans="1:59">
      <c r="A22" s="124" t="s">
        <v>611</v>
      </c>
      <c r="B22" s="31" t="s">
        <v>611</v>
      </c>
      <c r="C22" s="31" t="s">
        <v>612</v>
      </c>
      <c r="D22" s="180" t="s">
        <v>612</v>
      </c>
      <c r="E22" s="144" t="s">
        <v>3436</v>
      </c>
      <c r="F22" s="44" t="s">
        <v>2718</v>
      </c>
      <c r="G22" s="43" t="s">
        <v>1553</v>
      </c>
      <c r="H22" s="43" t="str">
        <f t="shared" si="2"/>
        <v>Urban Nueces</v>
      </c>
      <c r="I22" s="45">
        <f>INDEX(FeeCalc!M:M,MATCH(C:C,FeeCalc!F:F,0))</f>
        <v>2139387.3965766467</v>
      </c>
      <c r="J22" s="45">
        <f>INDEX(FeeCalc!L:L,MATCH(C:C,FeeCalc!F:F,0))</f>
        <v>2035248.3811602402</v>
      </c>
      <c r="K22" s="45">
        <f t="shared" si="3"/>
        <v>4174635.7777368869</v>
      </c>
      <c r="L22" s="45">
        <f>IFERROR(IFERROR(INDEX('2023 IP UPL Data'!N:N,MATCH(A:A,'2023 IP UPL Data'!B:B,0)),INDEX('2023 IMD UPL Data'!M:M,MATCH(A:A,'2023 IMD UPL Data'!B:B,0))),0)</f>
        <v>2793920.4504142012</v>
      </c>
      <c r="M22" s="45">
        <f>IFERROR((IF(F22="IMD",0,INDEX('2023 OP UPL Data'!M:M,MATCH(A:A,'2023 OP UPL Data'!B:B,0)))),0)</f>
        <v>2464782.8172189351</v>
      </c>
      <c r="N22" s="45">
        <f t="shared" si="4"/>
        <v>5258703.2676331364</v>
      </c>
      <c r="O22" s="45">
        <v>3180531.3064220343</v>
      </c>
      <c r="P22" s="45">
        <v>2340170.6586402981</v>
      </c>
      <c r="Q22" s="45">
        <f t="shared" si="5"/>
        <v>5520701.9650623323</v>
      </c>
      <c r="R22" s="45" t="str">
        <f t="shared" si="6"/>
        <v>Yes</v>
      </c>
      <c r="S22" s="46" t="str">
        <f t="shared" si="7"/>
        <v>Yes</v>
      </c>
      <c r="T22" s="47">
        <f>ROUND(INDEX(Summary!H:H,MATCH(H:H,Summary!A:A,0)),2)</f>
        <v>0.66</v>
      </c>
      <c r="U22" s="47">
        <f>ROUND(INDEX(Summary!I:I,MATCH(H:H,Summary!A:A,0)),2)</f>
        <v>1.49</v>
      </c>
      <c r="V22" s="85">
        <f t="shared" si="8"/>
        <v>1411995.6817405869</v>
      </c>
      <c r="W22" s="85">
        <f t="shared" si="9"/>
        <v>3032520.087928758</v>
      </c>
      <c r="X22" s="45">
        <f t="shared" si="10"/>
        <v>4444515.7696693446</v>
      </c>
      <c r="Y22" s="45" t="s">
        <v>3223</v>
      </c>
      <c r="Z22" s="45" t="str">
        <f t="shared" si="11"/>
        <v>Yes</v>
      </c>
      <c r="AA22" s="45" t="str">
        <f t="shared" si="12"/>
        <v>No</v>
      </c>
      <c r="AB22" s="45" t="str">
        <f t="shared" si="13"/>
        <v>Yes</v>
      </c>
      <c r="AC22" s="86">
        <f t="shared" si="31"/>
        <v>0.57999999999999996</v>
      </c>
      <c r="AD22" s="86">
        <f t="shared" si="32"/>
        <v>0</v>
      </c>
      <c r="AE22" s="45">
        <f t="shared" si="33"/>
        <v>1240844.690014455</v>
      </c>
      <c r="AF22" s="45">
        <f t="shared" si="14"/>
        <v>0</v>
      </c>
      <c r="AG22" s="45">
        <f t="shared" si="15"/>
        <v>1240844.690014455</v>
      </c>
      <c r="AH22" s="47">
        <f>IF(Y22="No",0,IFERROR(ROUNDDOWN(INDEX('90% of ACR'!K:K,MATCH(H:H,'90% of ACR'!A:A,0))*IF(I22&gt;0,IF(O22&gt;0,$R$4*MAX(O22-V22,0),0),0)/I22,2),0))</f>
        <v>0.56999999999999995</v>
      </c>
      <c r="AI22" s="86">
        <f>IF(Y22="No",0,IFERROR(ROUNDDOWN(INDEX('90% of ACR'!R:R,MATCH(H:H,'90% of ACR'!A:A,0))*IF(J22&gt;0,IF(P22&gt;0,$R$4*MAX(P22-W22,0),0),0)/J22,2),0))</f>
        <v>0</v>
      </c>
      <c r="AJ22" s="45">
        <f t="shared" si="16"/>
        <v>1219450.8160486885</v>
      </c>
      <c r="AK22" s="45">
        <f t="shared" si="17"/>
        <v>0</v>
      </c>
      <c r="AL22" s="47">
        <f t="shared" si="18"/>
        <v>1.23</v>
      </c>
      <c r="AM22" s="47">
        <f t="shared" si="19"/>
        <v>1.49</v>
      </c>
      <c r="AN22" s="87">
        <f>IFERROR(INDEX(FeeCalc!P:P,MATCH(C22,FeeCalc!F:F,0)),0)</f>
        <v>5663966.5857180338</v>
      </c>
      <c r="AO22" s="87">
        <f>IFERROR(INDEX(FeeCalc!S:S,MATCH(C22,FeeCalc!F:F,0)),0)</f>
        <v>351686.57278172672</v>
      </c>
      <c r="AP22" s="87">
        <f t="shared" si="20"/>
        <v>6015653.1584997606</v>
      </c>
      <c r="AQ22" s="72">
        <f t="shared" si="21"/>
        <v>2552634.1360525205</v>
      </c>
      <c r="AR22" s="72">
        <f t="shared" si="22"/>
        <v>1276317.0680262602</v>
      </c>
      <c r="AS22" s="72">
        <f t="shared" si="23"/>
        <v>1276317.0680262602</v>
      </c>
      <c r="AT22" s="72">
        <f>IFERROR(IFERROR(INDEX('2023 IP UPL Data'!L:L,MATCH(A:A,'2023 IP UPL Data'!B:B,0)),INDEX('2023 IMD UPL Data'!I:I,MATCH(A:A,'2023 IMD UPL Data'!B:B,0))),0)</f>
        <v>2732854.0295857992</v>
      </c>
      <c r="AU22" s="72">
        <f>IFERROR(IF(F20="IMD",0,INDEX('2023 OP UPL Data'!J:J,MATCH(A:A,'2023 OP UPL Data'!B:B,0))),0)</f>
        <v>1229479.3727810651</v>
      </c>
      <c r="AV22" s="45">
        <f t="shared" si="24"/>
        <v>3962333.4023668645</v>
      </c>
      <c r="AW22" s="72">
        <f>IFERROR(IFERROR(INDEX('2023 IP UPL Data'!M:M,MATCH(A:A,'2023 IP UPL Data'!B:B,0)),INDEX('2023 IMD UPL Data'!K:K,MATCH(A:A,'2023 IMD UPL Data'!B:B,0))),0)</f>
        <v>5526774.4800000004</v>
      </c>
      <c r="AX22" s="72">
        <f>IFERROR(IF(F20="IMD",0,INDEX('2023 OP UPL Data'!L:L,MATCH(A:A,'2023 OP UPL Data'!B:B,0))),0)</f>
        <v>3694262.19</v>
      </c>
      <c r="AY22" s="45">
        <f t="shared" si="25"/>
        <v>9221036.6699999999</v>
      </c>
      <c r="AZ22" s="72">
        <v>5913385.3360078335</v>
      </c>
      <c r="BA22" s="72">
        <v>3569650.0314213629</v>
      </c>
      <c r="BB22" s="72">
        <f t="shared" si="26"/>
        <v>4501389.6542672468</v>
      </c>
      <c r="BC22" s="72">
        <f t="shared" si="27"/>
        <v>537129.94349260489</v>
      </c>
      <c r="BD22" s="72">
        <f t="shared" si="28"/>
        <v>5038519.5977598522</v>
      </c>
      <c r="BE22" s="94">
        <f t="shared" si="29"/>
        <v>386610.85600783303</v>
      </c>
      <c r="BF22" s="94">
        <f t="shared" si="30"/>
        <v>0</v>
      </c>
      <c r="BG22" s="73">
        <f>IFERROR(INDEX('2023 IP UPL Data'!K:K,MATCH(A22,'2023 IP UPL Data'!B:B,0)),0)</f>
        <v>0</v>
      </c>
    </row>
    <row r="23" spans="1:59">
      <c r="A23" s="124" t="s">
        <v>85</v>
      </c>
      <c r="B23" s="31" t="s">
        <v>85</v>
      </c>
      <c r="C23" s="31" t="s">
        <v>86</v>
      </c>
      <c r="D23" s="180" t="s">
        <v>86</v>
      </c>
      <c r="E23" s="144" t="s">
        <v>2980</v>
      </c>
      <c r="F23" s="44" t="s">
        <v>1552</v>
      </c>
      <c r="G23" s="43" t="s">
        <v>1366</v>
      </c>
      <c r="H23" s="43" t="str">
        <f t="shared" si="2"/>
        <v>Children's Tarrant</v>
      </c>
      <c r="I23" s="45">
        <f>INDEX(FeeCalc!M:M,MATCH(C:C,FeeCalc!F:F,0))</f>
        <v>110141720.84524745</v>
      </c>
      <c r="J23" s="45">
        <f>INDEX(FeeCalc!L:L,MATCH(C:C,FeeCalc!F:F,0))</f>
        <v>99360253.850774556</v>
      </c>
      <c r="K23" s="45">
        <f t="shared" si="3"/>
        <v>209501974.696022</v>
      </c>
      <c r="L23" s="45">
        <f>IFERROR(IFERROR(INDEX('2023 IP UPL Data'!N:N,MATCH(A:A,'2023 IP UPL Data'!B:B,0)),INDEX('2023 IMD UPL Data'!M:M,MATCH(A:A,'2023 IMD UPL Data'!B:B,0))),0)</f>
        <v>90433868.423790842</v>
      </c>
      <c r="M23" s="45">
        <f>IFERROR((IF(F23="IMD",0,INDEX('2023 OP UPL Data'!M:M,MATCH(A:A,'2023 OP UPL Data'!B:B,0)))),0)</f>
        <v>8607310.1742483824</v>
      </c>
      <c r="N23" s="45">
        <f t="shared" si="4"/>
        <v>99041178.598039225</v>
      </c>
      <c r="O23" s="45">
        <v>318176362.5295555</v>
      </c>
      <c r="P23" s="45">
        <v>113955897.60029958</v>
      </c>
      <c r="Q23" s="45">
        <f t="shared" si="5"/>
        <v>432132260.1298551</v>
      </c>
      <c r="R23" s="45" t="str">
        <f t="shared" si="6"/>
        <v>Yes</v>
      </c>
      <c r="S23" s="46" t="str">
        <f t="shared" si="7"/>
        <v>Yes</v>
      </c>
      <c r="T23" s="47">
        <f>ROUND(INDEX(Summary!H:H,MATCH(H:H,Summary!A:A,0)),2)</f>
        <v>0.82</v>
      </c>
      <c r="U23" s="47">
        <f>ROUND(INDEX(Summary!I:I,MATCH(H:H,Summary!A:A,0)),2)</f>
        <v>0.09</v>
      </c>
      <c r="V23" s="85">
        <f t="shared" si="8"/>
        <v>90316211.093102902</v>
      </c>
      <c r="W23" s="85">
        <f t="shared" si="9"/>
        <v>8942422.8465697095</v>
      </c>
      <c r="X23" s="45">
        <f t="shared" si="10"/>
        <v>99258633.939672619</v>
      </c>
      <c r="Y23" s="45" t="s">
        <v>3223</v>
      </c>
      <c r="Z23" s="45" t="str">
        <f t="shared" si="11"/>
        <v>Yes</v>
      </c>
      <c r="AA23" s="45" t="str">
        <f t="shared" si="12"/>
        <v>Yes</v>
      </c>
      <c r="AB23" s="45" t="str">
        <f t="shared" si="13"/>
        <v>Yes</v>
      </c>
      <c r="AC23" s="86">
        <f t="shared" si="31"/>
        <v>1.44</v>
      </c>
      <c r="AD23" s="86">
        <f t="shared" si="32"/>
        <v>0.74</v>
      </c>
      <c r="AE23" s="45">
        <f t="shared" si="33"/>
        <v>158604078.01715633</v>
      </c>
      <c r="AF23" s="45">
        <f t="shared" si="14"/>
        <v>73526587.849573165</v>
      </c>
      <c r="AG23" s="45">
        <f t="shared" si="15"/>
        <v>232130665.8667295</v>
      </c>
      <c r="AH23" s="47">
        <f>IF(Y23="No",0,IFERROR(ROUNDDOWN(INDEX('90% of ACR'!K:K,MATCH(H:H,'90% of ACR'!A:A,0))*IF(I23&gt;0,IF(O23&gt;0,$R$4*MAX(O23-V23,0),0),0)/I23,2),0))</f>
        <v>1.44</v>
      </c>
      <c r="AI23" s="86">
        <f>IF(Y23="No",0,IFERROR(ROUNDDOWN(INDEX('90% of ACR'!R:R,MATCH(H:H,'90% of ACR'!A:A,0))*IF(J23&gt;0,IF(P23&gt;0,$R$4*MAX(P23-W23,0),0),0)/J23,2),0))</f>
        <v>0.73</v>
      </c>
      <c r="AJ23" s="45">
        <f t="shared" si="16"/>
        <v>158604078.01715633</v>
      </c>
      <c r="AK23" s="45">
        <f t="shared" si="17"/>
        <v>72532985.311065421</v>
      </c>
      <c r="AL23" s="47">
        <f t="shared" si="18"/>
        <v>2.2599999999999998</v>
      </c>
      <c r="AM23" s="47">
        <f t="shared" si="19"/>
        <v>0.82</v>
      </c>
      <c r="AN23" s="87">
        <f>IFERROR(INDEX(FeeCalc!P:P,MATCH(C23,FeeCalc!F:F,0)),0)</f>
        <v>330395697.26789433</v>
      </c>
      <c r="AO23" s="87">
        <f>IFERROR(INDEX(FeeCalc!S:S,MATCH(C23,FeeCalc!F:F,0)),0)</f>
        <v>20162968.267790098</v>
      </c>
      <c r="AP23" s="87">
        <f t="shared" si="20"/>
        <v>350558665.53568441</v>
      </c>
      <c r="AQ23" s="72">
        <f t="shared" si="21"/>
        <v>148753259.66408807</v>
      </c>
      <c r="AR23" s="72">
        <f t="shared" si="22"/>
        <v>74376629.832044035</v>
      </c>
      <c r="AS23" s="72">
        <f t="shared" si="23"/>
        <v>74376629.832044035</v>
      </c>
      <c r="AT23" s="72">
        <f>IFERROR(IFERROR(INDEX('2023 IP UPL Data'!L:L,MATCH(A:A,'2023 IP UPL Data'!B:B,0)),INDEX('2023 IMD UPL Data'!I:I,MATCH(A:A,'2023 IMD UPL Data'!B:B,0))),0)</f>
        <v>126777963.85620916</v>
      </c>
      <c r="AU23" s="72">
        <f>IFERROR(IF(F21="IMD",0,INDEX('2023 OP UPL Data'!J:J,MATCH(A:A,'2023 OP UPL Data'!B:B,0))),0)</f>
        <v>68667132.045751616</v>
      </c>
      <c r="AV23" s="45">
        <f t="shared" si="24"/>
        <v>195445095.90196079</v>
      </c>
      <c r="AW23" s="72">
        <f>IFERROR(IFERROR(INDEX('2023 IP UPL Data'!M:M,MATCH(A:A,'2023 IP UPL Data'!B:B,0)),INDEX('2023 IMD UPL Data'!K:K,MATCH(A:A,'2023 IMD UPL Data'!B:B,0))),0)</f>
        <v>217211832.28</v>
      </c>
      <c r="AX23" s="72">
        <f>IFERROR(IF(F21="IMD",0,INDEX('2023 OP UPL Data'!L:L,MATCH(A:A,'2023 OP UPL Data'!B:B,0))),0)</f>
        <v>77274442.219999999</v>
      </c>
      <c r="AY23" s="45">
        <f t="shared" si="25"/>
        <v>294486274.5</v>
      </c>
      <c r="AZ23" s="72">
        <v>444954326.38576466</v>
      </c>
      <c r="BA23" s="72">
        <v>182623029.6460512</v>
      </c>
      <c r="BB23" s="72">
        <f t="shared" si="26"/>
        <v>354638115.29266179</v>
      </c>
      <c r="BC23" s="72">
        <f t="shared" si="27"/>
        <v>173680606.79948148</v>
      </c>
      <c r="BD23" s="72">
        <f t="shared" si="28"/>
        <v>528318722.0921433</v>
      </c>
      <c r="BE23" s="94">
        <f t="shared" si="29"/>
        <v>227742494.10576466</v>
      </c>
      <c r="BF23" s="94">
        <f t="shared" si="30"/>
        <v>105348587.4260512</v>
      </c>
      <c r="BG23" s="73">
        <f>IFERROR(INDEX('2023 IP UPL Data'!K:K,MATCH(A23,'2023 IP UPL Data'!B:B,0)),0)</f>
        <v>0</v>
      </c>
    </row>
    <row r="24" spans="1:59">
      <c r="A24" s="124" t="s">
        <v>3620</v>
      </c>
      <c r="B24" s="31" t="s">
        <v>3620</v>
      </c>
      <c r="C24" s="48" t="s">
        <v>3588</v>
      </c>
      <c r="D24" s="180" t="s">
        <v>3588</v>
      </c>
      <c r="E24" s="144" t="s">
        <v>3437</v>
      </c>
      <c r="F24" s="44" t="s">
        <v>1552</v>
      </c>
      <c r="G24" s="43" t="s">
        <v>1366</v>
      </c>
      <c r="H24" s="43" t="str">
        <f t="shared" si="2"/>
        <v>Children's Tarrant</v>
      </c>
      <c r="I24" s="45">
        <f>INDEX(FeeCalc!M:M,MATCH(C:C,FeeCalc!F:F,0))</f>
        <v>0</v>
      </c>
      <c r="J24" s="45">
        <f>INDEX(FeeCalc!L:L,MATCH(C:C,FeeCalc!F:F,0))</f>
        <v>0</v>
      </c>
      <c r="K24" s="45">
        <f t="shared" si="3"/>
        <v>0</v>
      </c>
      <c r="L24" s="45">
        <f>IFERROR(IFERROR(INDEX('2023 IP UPL Data'!N:N,MATCH(A:A,'2023 IP UPL Data'!B:B,0)),INDEX('2023 IMD UPL Data'!M:M,MATCH(A:A,'2023 IMD UPL Data'!B:B,0))),0)</f>
        <v>0</v>
      </c>
      <c r="M24" s="45">
        <f>IFERROR((IF(F24="IMD",0,INDEX('2023 OP UPL Data'!M:M,MATCH(A:A,'2023 OP UPL Data'!B:B,0)))),0)</f>
        <v>0</v>
      </c>
      <c r="N24" s="45">
        <f t="shared" si="4"/>
        <v>0</v>
      </c>
      <c r="O24" s="45">
        <v>0</v>
      </c>
      <c r="P24" s="45">
        <v>0</v>
      </c>
      <c r="Q24" s="45">
        <f t="shared" si="5"/>
        <v>0</v>
      </c>
      <c r="R24" s="45" t="str">
        <f t="shared" si="6"/>
        <v>No</v>
      </c>
      <c r="S24" s="46" t="str">
        <f t="shared" si="7"/>
        <v>No</v>
      </c>
      <c r="T24" s="47">
        <f>ROUND(INDEX(Summary!H:H,MATCH(H:H,Summary!A:A,0)),2)</f>
        <v>0.82</v>
      </c>
      <c r="U24" s="47">
        <f>ROUND(INDEX(Summary!I:I,MATCH(H:H,Summary!A:A,0)),2)</f>
        <v>0.09</v>
      </c>
      <c r="V24" s="85">
        <f t="shared" si="8"/>
        <v>0</v>
      </c>
      <c r="W24" s="85">
        <f t="shared" si="9"/>
        <v>0</v>
      </c>
      <c r="X24" s="45">
        <f t="shared" si="10"/>
        <v>0</v>
      </c>
      <c r="Y24" s="45" t="s">
        <v>3223</v>
      </c>
      <c r="Z24" s="45" t="str">
        <f t="shared" si="11"/>
        <v>No</v>
      </c>
      <c r="AA24" s="45" t="str">
        <f t="shared" si="12"/>
        <v>No</v>
      </c>
      <c r="AB24" s="45" t="str">
        <f t="shared" si="13"/>
        <v>No</v>
      </c>
      <c r="AC24" s="86">
        <f t="shared" si="31"/>
        <v>0</v>
      </c>
      <c r="AD24" s="86">
        <f t="shared" si="32"/>
        <v>0</v>
      </c>
      <c r="AE24" s="45">
        <f t="shared" si="33"/>
        <v>0</v>
      </c>
      <c r="AF24" s="45">
        <f t="shared" si="14"/>
        <v>0</v>
      </c>
      <c r="AG24" s="45">
        <f t="shared" si="15"/>
        <v>0</v>
      </c>
      <c r="AH24" s="47">
        <f>IF(Y24="No",0,IFERROR(ROUNDDOWN(INDEX('90% of ACR'!K:K,MATCH(H:H,'90% of ACR'!A:A,0))*IF(I24&gt;0,IF(O24&gt;0,$R$4*MAX(O24-V24,0),0),0)/I24,2),0))</f>
        <v>0</v>
      </c>
      <c r="AI24" s="86">
        <f>IF(Y24="No",0,IFERROR(ROUNDDOWN(INDEX('90% of ACR'!R:R,MATCH(H:H,'90% of ACR'!A:A,0))*IF(J24&gt;0,IF(P24&gt;0,$R$4*MAX(P24-W24,0),0),0)/J24,2),0))</f>
        <v>0</v>
      </c>
      <c r="AJ24" s="45">
        <f t="shared" si="16"/>
        <v>0</v>
      </c>
      <c r="AK24" s="45">
        <f t="shared" si="17"/>
        <v>0</v>
      </c>
      <c r="AL24" s="47">
        <f t="shared" si="18"/>
        <v>0.82</v>
      </c>
      <c r="AM24" s="47">
        <f t="shared" si="19"/>
        <v>0.09</v>
      </c>
      <c r="AN24" s="87">
        <f>IFERROR(INDEX(FeeCalc!P:P,MATCH(C24,FeeCalc!F:F,0)),0)</f>
        <v>0</v>
      </c>
      <c r="AO24" s="87">
        <f>IFERROR(INDEX(FeeCalc!S:S,MATCH(C24,FeeCalc!F:F,0)),0)</f>
        <v>0</v>
      </c>
      <c r="AP24" s="87">
        <f t="shared" si="20"/>
        <v>0</v>
      </c>
      <c r="AQ24" s="72">
        <f t="shared" si="21"/>
        <v>0</v>
      </c>
      <c r="AR24" s="72">
        <f t="shared" si="22"/>
        <v>0</v>
      </c>
      <c r="AS24" s="72">
        <f t="shared" si="23"/>
        <v>0</v>
      </c>
      <c r="AT24" s="72">
        <f>IFERROR(IFERROR(INDEX('2023 IP UPL Data'!L:L,MATCH(A:A,'2023 IP UPL Data'!B:B,0)),INDEX('2023 IMD UPL Data'!I:I,MATCH(A:A,'2023 IMD UPL Data'!B:B,0))),0)</f>
        <v>0</v>
      </c>
      <c r="AU24" s="72">
        <f>IFERROR(IF(F22="IMD",0,INDEX('2023 OP UPL Data'!J:J,MATCH(A:A,'2023 OP UPL Data'!B:B,0))),0)</f>
        <v>0</v>
      </c>
      <c r="AV24" s="45">
        <f t="shared" si="24"/>
        <v>0</v>
      </c>
      <c r="AW24" s="72">
        <f>IFERROR(IFERROR(INDEX('2023 IP UPL Data'!M:M,MATCH(A:A,'2023 IP UPL Data'!B:B,0)),INDEX('2023 IMD UPL Data'!K:K,MATCH(A:A,'2023 IMD UPL Data'!B:B,0))),0)</f>
        <v>0</v>
      </c>
      <c r="AX24" s="72">
        <f>IFERROR(IF(F22="IMD",0,INDEX('2023 OP UPL Data'!L:L,MATCH(A:A,'2023 OP UPL Data'!B:B,0))),0)</f>
        <v>0</v>
      </c>
      <c r="AY24" s="45">
        <f t="shared" si="25"/>
        <v>0</v>
      </c>
      <c r="AZ24" s="72">
        <v>0</v>
      </c>
      <c r="BA24" s="72">
        <v>0</v>
      </c>
      <c r="BB24" s="72">
        <f t="shared" si="26"/>
        <v>0</v>
      </c>
      <c r="BC24" s="72">
        <f t="shared" si="27"/>
        <v>0</v>
      </c>
      <c r="BD24" s="72">
        <f t="shared" si="28"/>
        <v>0</v>
      </c>
      <c r="BE24" s="94">
        <f t="shared" si="29"/>
        <v>0</v>
      </c>
      <c r="BF24" s="94">
        <f t="shared" si="30"/>
        <v>0</v>
      </c>
      <c r="BG24" s="73">
        <f>IFERROR(INDEX('2023 IP UPL Data'!K:K,MATCH(A24,'2023 IP UPL Data'!B:B,0)),0)</f>
        <v>0</v>
      </c>
    </row>
    <row r="25" spans="1:59">
      <c r="A25" s="124" t="s">
        <v>722</v>
      </c>
      <c r="B25" s="31" t="s">
        <v>722</v>
      </c>
      <c r="C25" s="31" t="s">
        <v>723</v>
      </c>
      <c r="D25" s="180" t="s">
        <v>723</v>
      </c>
      <c r="E25" s="144" t="s">
        <v>3438</v>
      </c>
      <c r="F25" s="44" t="s">
        <v>2768</v>
      </c>
      <c r="G25" s="43" t="s">
        <v>1530</v>
      </c>
      <c r="H25" s="43" t="str">
        <f t="shared" si="2"/>
        <v>Rural Lubbock</v>
      </c>
      <c r="I25" s="45">
        <f>INDEX(FeeCalc!M:M,MATCH(C:C,FeeCalc!F:F,0))</f>
        <v>1928304.2382706923</v>
      </c>
      <c r="J25" s="45">
        <f>INDEX(FeeCalc!L:L,MATCH(C:C,FeeCalc!F:F,0))</f>
        <v>2151367.1872300478</v>
      </c>
      <c r="K25" s="45">
        <f t="shared" si="3"/>
        <v>4079671.4255007403</v>
      </c>
      <c r="L25" s="45">
        <f>IFERROR(IFERROR(INDEX('2023 IP UPL Data'!N:N,MATCH(A:A,'2023 IP UPL Data'!B:B,0)),INDEX('2023 IMD UPL Data'!M:M,MATCH(A:A,'2023 IMD UPL Data'!B:B,0))),0)</f>
        <v>-280796.44945515366</v>
      </c>
      <c r="M25" s="45">
        <f>IFERROR((IF(F25="IMD",0,INDEX('2023 OP UPL Data'!M:M,MATCH(A:A,'2023 OP UPL Data'!B:B,0)))),0)</f>
        <v>-29614.831621621619</v>
      </c>
      <c r="N25" s="45">
        <f t="shared" si="4"/>
        <v>-310411.28107677528</v>
      </c>
      <c r="O25" s="45">
        <v>-1351378.5286770794</v>
      </c>
      <c r="P25" s="45">
        <v>-105451.38239133195</v>
      </c>
      <c r="Q25" s="45">
        <f t="shared" si="5"/>
        <v>-1456829.9110684113</v>
      </c>
      <c r="R25" s="45" t="str">
        <f t="shared" si="6"/>
        <v>No</v>
      </c>
      <c r="S25" s="46" t="str">
        <f t="shared" si="7"/>
        <v>No</v>
      </c>
      <c r="T25" s="47">
        <f>ROUND(INDEX(Summary!H:H,MATCH(H:H,Summary!A:A,0)),2)</f>
        <v>0.32</v>
      </c>
      <c r="U25" s="47">
        <f>ROUND(INDEX(Summary!I:I,MATCH(H:H,Summary!A:A,0)),2)</f>
        <v>0.36</v>
      </c>
      <c r="V25" s="85">
        <f t="shared" si="8"/>
        <v>617057.35624662158</v>
      </c>
      <c r="W25" s="85">
        <f t="shared" si="9"/>
        <v>774492.18740281719</v>
      </c>
      <c r="X25" s="45">
        <f t="shared" si="10"/>
        <v>1391549.5436494388</v>
      </c>
      <c r="Y25" s="45" t="s">
        <v>3223</v>
      </c>
      <c r="Z25" s="45" t="str">
        <f t="shared" si="11"/>
        <v>No</v>
      </c>
      <c r="AA25" s="45" t="str">
        <f t="shared" si="12"/>
        <v>No</v>
      </c>
      <c r="AB25" s="45" t="str">
        <f t="shared" si="13"/>
        <v>No</v>
      </c>
      <c r="AC25" s="86">
        <f t="shared" si="31"/>
        <v>0</v>
      </c>
      <c r="AD25" s="86">
        <f t="shared" si="32"/>
        <v>0</v>
      </c>
      <c r="AE25" s="45">
        <f t="shared" si="33"/>
        <v>0</v>
      </c>
      <c r="AF25" s="45">
        <f t="shared" si="14"/>
        <v>0</v>
      </c>
      <c r="AG25" s="45">
        <f t="shared" si="15"/>
        <v>0</v>
      </c>
      <c r="AH25" s="47">
        <f>IF(Y25="No",0,IFERROR(ROUNDDOWN(INDEX('90% of ACR'!K:K,MATCH(H:H,'90% of ACR'!A:A,0))*IF(I25&gt;0,IF(O25&gt;0,$R$4*MAX(O25-V25,0),0),0)/I25,2),0))</f>
        <v>0</v>
      </c>
      <c r="AI25" s="86">
        <f>IF(Y25="No",0,IFERROR(ROUNDDOWN(INDEX('90% of ACR'!R:R,MATCH(H:H,'90% of ACR'!A:A,0))*IF(J25&gt;0,IF(P25&gt;0,$R$4*MAX(P25-W25,0),0),0)/J25,2),0))</f>
        <v>0</v>
      </c>
      <c r="AJ25" s="45">
        <f t="shared" si="16"/>
        <v>0</v>
      </c>
      <c r="AK25" s="45">
        <f t="shared" si="17"/>
        <v>0</v>
      </c>
      <c r="AL25" s="47">
        <f t="shared" si="18"/>
        <v>0.32</v>
      </c>
      <c r="AM25" s="47">
        <f t="shared" si="19"/>
        <v>0.36</v>
      </c>
      <c r="AN25" s="87">
        <f>IFERROR(INDEX(FeeCalc!P:P,MATCH(C25,FeeCalc!F:F,0)),0)</f>
        <v>1391549.5436494388</v>
      </c>
      <c r="AO25" s="87">
        <f>IFERROR(INDEX(FeeCalc!S:S,MATCH(C25,FeeCalc!F:F,0)),0)</f>
        <v>85319.994396472175</v>
      </c>
      <c r="AP25" s="87">
        <f t="shared" si="20"/>
        <v>1476869.5380459109</v>
      </c>
      <c r="AQ25" s="72">
        <f t="shared" si="21"/>
        <v>626683.00481809757</v>
      </c>
      <c r="AR25" s="72">
        <f t="shared" si="22"/>
        <v>313341.50240904879</v>
      </c>
      <c r="AS25" s="72">
        <f t="shared" si="23"/>
        <v>313341.50240904879</v>
      </c>
      <c r="AT25" s="72">
        <f>IFERROR(IFERROR(INDEX('2023 IP UPL Data'!L:L,MATCH(A:A,'2023 IP UPL Data'!B:B,0)),INDEX('2023 IMD UPL Data'!I:I,MATCH(A:A,'2023 IMD UPL Data'!B:B,0))),0)</f>
        <v>2069321.3494551536</v>
      </c>
      <c r="AU25" s="72">
        <f>IFERROR(IF(F23="IMD",0,INDEX('2023 OP UPL Data'!J:J,MATCH(A:A,'2023 OP UPL Data'!B:B,0))),0)</f>
        <v>854799.28162162157</v>
      </c>
      <c r="AV25" s="45">
        <f t="shared" si="24"/>
        <v>2924120.631076775</v>
      </c>
      <c r="AW25" s="72">
        <f>IFERROR(IFERROR(INDEX('2023 IP UPL Data'!M:M,MATCH(A:A,'2023 IP UPL Data'!B:B,0)),INDEX('2023 IMD UPL Data'!K:K,MATCH(A:A,'2023 IMD UPL Data'!B:B,0))),0)</f>
        <v>1788524.9</v>
      </c>
      <c r="AX25" s="72">
        <f>IFERROR(IF(F23="IMD",0,INDEX('2023 OP UPL Data'!L:L,MATCH(A:A,'2023 OP UPL Data'!B:B,0))),0)</f>
        <v>825184.45</v>
      </c>
      <c r="AY25" s="45">
        <f t="shared" si="25"/>
        <v>2613709.3499999996</v>
      </c>
      <c r="AZ25" s="72">
        <v>717942.82077807433</v>
      </c>
      <c r="BA25" s="72">
        <v>749347.89923028962</v>
      </c>
      <c r="BB25" s="72">
        <f t="shared" si="26"/>
        <v>100885.46453145274</v>
      </c>
      <c r="BC25" s="72">
        <f t="shared" si="27"/>
        <v>0</v>
      </c>
      <c r="BD25" s="72">
        <f t="shared" si="28"/>
        <v>75741.176358925179</v>
      </c>
      <c r="BE25" s="94">
        <f t="shared" si="29"/>
        <v>0</v>
      </c>
      <c r="BF25" s="94">
        <f t="shared" si="30"/>
        <v>0</v>
      </c>
      <c r="BG25" s="73">
        <f>IFERROR(INDEX('2023 IP UPL Data'!K:K,MATCH(A25,'2023 IP UPL Data'!B:B,0)),0)</f>
        <v>0</v>
      </c>
    </row>
    <row r="26" spans="1:59">
      <c r="A26" s="124" t="s">
        <v>545</v>
      </c>
      <c r="B26" s="31" t="s">
        <v>545</v>
      </c>
      <c r="C26" s="31" t="s">
        <v>546</v>
      </c>
      <c r="D26" s="180" t="s">
        <v>546</v>
      </c>
      <c r="E26" s="144" t="s">
        <v>3351</v>
      </c>
      <c r="F26" s="44" t="s">
        <v>2768</v>
      </c>
      <c r="G26" s="43" t="s">
        <v>1489</v>
      </c>
      <c r="H26" s="43" t="str">
        <f t="shared" si="2"/>
        <v>Rural MRSA Central</v>
      </c>
      <c r="I26" s="45">
        <f>INDEX(FeeCalc!M:M,MATCH(C:C,FeeCalc!F:F,0))</f>
        <v>80766.228253093432</v>
      </c>
      <c r="J26" s="45">
        <f>INDEX(FeeCalc!L:L,MATCH(C:C,FeeCalc!F:F,0))</f>
        <v>508127.40840901958</v>
      </c>
      <c r="K26" s="45">
        <f t="shared" si="3"/>
        <v>588893.63666211301</v>
      </c>
      <c r="L26" s="45">
        <f>IFERROR(IFERROR(INDEX('2023 IP UPL Data'!N:N,MATCH(A:A,'2023 IP UPL Data'!B:B,0)),INDEX('2023 IMD UPL Data'!M:M,MATCH(A:A,'2023 IMD UPL Data'!B:B,0))),0)</f>
        <v>43839.868658023843</v>
      </c>
      <c r="M26" s="45">
        <f>IFERROR((IF(F26="IMD",0,INDEX('2023 OP UPL Data'!M:M,MATCH(A:A,'2023 OP UPL Data'!B:B,0)))),0)</f>
        <v>117745.4887417219</v>
      </c>
      <c r="N26" s="45">
        <f t="shared" si="4"/>
        <v>161585.35739974573</v>
      </c>
      <c r="O26" s="45">
        <v>-27184.443449263534</v>
      </c>
      <c r="P26" s="45">
        <v>6009.2575540487014</v>
      </c>
      <c r="Q26" s="45">
        <f t="shared" si="5"/>
        <v>-21175.185895214832</v>
      </c>
      <c r="R26" s="45" t="str">
        <f t="shared" si="6"/>
        <v>No</v>
      </c>
      <c r="S26" s="46" t="str">
        <f t="shared" si="7"/>
        <v>Yes</v>
      </c>
      <c r="T26" s="47">
        <f>ROUND(INDEX(Summary!H:H,MATCH(H:H,Summary!A:A,0)),2)</f>
        <v>0</v>
      </c>
      <c r="U26" s="47">
        <f>ROUND(INDEX(Summary!I:I,MATCH(H:H,Summary!A:A,0)),2)</f>
        <v>0.17</v>
      </c>
      <c r="V26" s="85">
        <f t="shared" si="8"/>
        <v>0</v>
      </c>
      <c r="W26" s="85">
        <f t="shared" si="9"/>
        <v>86381.659429533334</v>
      </c>
      <c r="X26" s="45">
        <f t="shared" si="10"/>
        <v>86381.659429533334</v>
      </c>
      <c r="Y26" s="45" t="s">
        <v>3223</v>
      </c>
      <c r="Z26" s="45" t="str">
        <f t="shared" si="11"/>
        <v>No</v>
      </c>
      <c r="AA26" s="45" t="str">
        <f t="shared" si="12"/>
        <v>No</v>
      </c>
      <c r="AB26" s="45" t="str">
        <f t="shared" si="13"/>
        <v>No</v>
      </c>
      <c r="AC26" s="86">
        <f t="shared" si="31"/>
        <v>0</v>
      </c>
      <c r="AD26" s="86">
        <f t="shared" si="32"/>
        <v>0</v>
      </c>
      <c r="AE26" s="45">
        <f t="shared" si="33"/>
        <v>0</v>
      </c>
      <c r="AF26" s="45">
        <f t="shared" si="14"/>
        <v>0</v>
      </c>
      <c r="AG26" s="45">
        <f t="shared" si="15"/>
        <v>0</v>
      </c>
      <c r="AH26" s="47">
        <f>IF(Y26="No",0,IFERROR(ROUNDDOWN(INDEX('90% of ACR'!K:K,MATCH(H:H,'90% of ACR'!A:A,0))*IF(I26&gt;0,IF(O26&gt;0,$R$4*MAX(O26-V26,0),0),0)/I26,2),0))</f>
        <v>0</v>
      </c>
      <c r="AI26" s="86">
        <f>IF(Y26="No",0,IFERROR(ROUNDDOWN(INDEX('90% of ACR'!R:R,MATCH(H:H,'90% of ACR'!A:A,0))*IF(J26&gt;0,IF(P26&gt;0,$R$4*MAX(P26-W26,0),0),0)/J26,2),0))</f>
        <v>0</v>
      </c>
      <c r="AJ26" s="45">
        <f t="shared" si="16"/>
        <v>0</v>
      </c>
      <c r="AK26" s="45">
        <f t="shared" si="17"/>
        <v>0</v>
      </c>
      <c r="AL26" s="47">
        <f t="shared" si="18"/>
        <v>0</v>
      </c>
      <c r="AM26" s="47">
        <f t="shared" si="19"/>
        <v>0.17</v>
      </c>
      <c r="AN26" s="87">
        <f>IFERROR(INDEX(FeeCalc!P:P,MATCH(C26,FeeCalc!F:F,0)),0)</f>
        <v>86381.659429533334</v>
      </c>
      <c r="AO26" s="87">
        <f>IFERROR(INDEX(FeeCalc!S:S,MATCH(C26,FeeCalc!F:F,0)),0)</f>
        <v>5407.3943189921192</v>
      </c>
      <c r="AP26" s="87">
        <f t="shared" si="20"/>
        <v>91789.053748525446</v>
      </c>
      <c r="AQ26" s="72">
        <f t="shared" si="21"/>
        <v>38949.032755219305</v>
      </c>
      <c r="AR26" s="72">
        <f t="shared" si="22"/>
        <v>19474.516377609652</v>
      </c>
      <c r="AS26" s="72">
        <f t="shared" si="23"/>
        <v>19474.516377609652</v>
      </c>
      <c r="AT26" s="72">
        <f>IFERROR(IFERROR(INDEX('2023 IP UPL Data'!L:L,MATCH(A:A,'2023 IP UPL Data'!B:B,0)),INDEX('2023 IMD UPL Data'!I:I,MATCH(A:A,'2023 IMD UPL Data'!B:B,0))),0)</f>
        <v>61413.041341976161</v>
      </c>
      <c r="AU26" s="72">
        <f>IFERROR(IF(F24="IMD",0,INDEX('2023 OP UPL Data'!J:J,MATCH(A:A,'2023 OP UPL Data'!B:B,0))),0)</f>
        <v>158464.91125827812</v>
      </c>
      <c r="AV26" s="45">
        <f t="shared" si="24"/>
        <v>219877.95260025427</v>
      </c>
      <c r="AW26" s="72">
        <f>IFERROR(IFERROR(INDEX('2023 IP UPL Data'!M:M,MATCH(A:A,'2023 IP UPL Data'!B:B,0)),INDEX('2023 IMD UPL Data'!K:K,MATCH(A:A,'2023 IMD UPL Data'!B:B,0))),0)</f>
        <v>105252.91</v>
      </c>
      <c r="AX26" s="72">
        <f>IFERROR(IF(F24="IMD",0,INDEX('2023 OP UPL Data'!L:L,MATCH(A:A,'2023 OP UPL Data'!B:B,0))),0)</f>
        <v>276210.40000000002</v>
      </c>
      <c r="AY26" s="45">
        <f t="shared" si="25"/>
        <v>381463.31000000006</v>
      </c>
      <c r="AZ26" s="72">
        <v>34228.597892712627</v>
      </c>
      <c r="BA26" s="72">
        <v>164474.16881232682</v>
      </c>
      <c r="BB26" s="72">
        <f t="shared" si="26"/>
        <v>34228.597892712627</v>
      </c>
      <c r="BC26" s="72">
        <f t="shared" si="27"/>
        <v>78092.509382793491</v>
      </c>
      <c r="BD26" s="72">
        <f t="shared" si="28"/>
        <v>112321.10727550612</v>
      </c>
      <c r="BE26" s="94">
        <f t="shared" si="29"/>
        <v>0</v>
      </c>
      <c r="BF26" s="94">
        <f t="shared" si="30"/>
        <v>0</v>
      </c>
      <c r="BG26" s="73">
        <f>IFERROR(INDEX('2023 IP UPL Data'!K:K,MATCH(A26,'2023 IP UPL Data'!B:B,0)),0)</f>
        <v>0</v>
      </c>
    </row>
    <row r="27" spans="1:59">
      <c r="A27" s="124" t="s">
        <v>1177</v>
      </c>
      <c r="B27" s="31" t="s">
        <v>1177</v>
      </c>
      <c r="C27" s="31" t="s">
        <v>1178</v>
      </c>
      <c r="D27" s="180" t="s">
        <v>1178</v>
      </c>
      <c r="E27" s="144" t="s">
        <v>3091</v>
      </c>
      <c r="F27" s="44" t="s">
        <v>2768</v>
      </c>
      <c r="G27" s="43" t="s">
        <v>1530</v>
      </c>
      <c r="H27" s="43" t="str">
        <f t="shared" si="2"/>
        <v>Rural Lubbock</v>
      </c>
      <c r="I27" s="45">
        <f>INDEX(FeeCalc!M:M,MATCH(C:C,FeeCalc!F:F,0))</f>
        <v>31012.4101304506</v>
      </c>
      <c r="J27" s="45">
        <f>INDEX(FeeCalc!L:L,MATCH(C:C,FeeCalc!F:F,0))</f>
        <v>423877.39773851901</v>
      </c>
      <c r="K27" s="45">
        <f t="shared" si="3"/>
        <v>454889.80786896963</v>
      </c>
      <c r="L27" s="45">
        <f>IFERROR(IFERROR(INDEX('2023 IP UPL Data'!N:N,MATCH(A:A,'2023 IP UPL Data'!B:B,0)),INDEX('2023 IMD UPL Data'!M:M,MATCH(A:A,'2023 IMD UPL Data'!B:B,0))),0)</f>
        <v>52531.939362296514</v>
      </c>
      <c r="M27" s="45">
        <f>IFERROR((IF(F27="IMD",0,INDEX('2023 OP UPL Data'!M:M,MATCH(A:A,'2023 OP UPL Data'!B:B,0)))),0)</f>
        <v>24748.247765363165</v>
      </c>
      <c r="N27" s="45">
        <f t="shared" si="4"/>
        <v>77280.187127659679</v>
      </c>
      <c r="O27" s="45">
        <v>55558.048501715908</v>
      </c>
      <c r="P27" s="45">
        <v>338762.90959339065</v>
      </c>
      <c r="Q27" s="45">
        <f t="shared" si="5"/>
        <v>394320.95809510653</v>
      </c>
      <c r="R27" s="45" t="str">
        <f t="shared" si="6"/>
        <v>Yes</v>
      </c>
      <c r="S27" s="46" t="str">
        <f t="shared" si="7"/>
        <v>Yes</v>
      </c>
      <c r="T27" s="47">
        <f>ROUND(INDEX(Summary!H:H,MATCH(H:H,Summary!A:A,0)),2)</f>
        <v>0.32</v>
      </c>
      <c r="U27" s="47">
        <f>ROUND(INDEX(Summary!I:I,MATCH(H:H,Summary!A:A,0)),2)</f>
        <v>0.36</v>
      </c>
      <c r="V27" s="85">
        <f t="shared" si="8"/>
        <v>9923.9712417441915</v>
      </c>
      <c r="W27" s="85">
        <f t="shared" si="9"/>
        <v>152595.86318586682</v>
      </c>
      <c r="X27" s="45">
        <f t="shared" si="10"/>
        <v>162519.83442761103</v>
      </c>
      <c r="Y27" s="45" t="s">
        <v>3223</v>
      </c>
      <c r="Z27" s="45" t="str">
        <f t="shared" si="11"/>
        <v>No</v>
      </c>
      <c r="AA27" s="45" t="str">
        <f t="shared" si="12"/>
        <v>Yes</v>
      </c>
      <c r="AB27" s="45" t="str">
        <f t="shared" si="13"/>
        <v>Yes</v>
      </c>
      <c r="AC27" s="86">
        <f t="shared" si="31"/>
        <v>1.03</v>
      </c>
      <c r="AD27" s="86">
        <f t="shared" si="32"/>
        <v>0.31</v>
      </c>
      <c r="AE27" s="45">
        <f t="shared" si="33"/>
        <v>31942.782434364119</v>
      </c>
      <c r="AF27" s="45">
        <f t="shared" si="14"/>
        <v>131401.99329894088</v>
      </c>
      <c r="AG27" s="45">
        <f t="shared" si="15"/>
        <v>163344.775733305</v>
      </c>
      <c r="AH27" s="47">
        <f>IF(Y27="No",0,IFERROR(ROUNDDOWN(INDEX('90% of ACR'!K:K,MATCH(H:H,'90% of ACR'!A:A,0))*IF(I27&gt;0,IF(O27&gt;0,$R$4*MAX(O27-V27,0),0),0)/I27,2),0))</f>
        <v>0</v>
      </c>
      <c r="AI27" s="86">
        <f>IF(Y27="No",0,IFERROR(ROUNDDOWN(INDEX('90% of ACR'!R:R,MATCH(H:H,'90% of ACR'!A:A,0))*IF(J27&gt;0,IF(P27&gt;0,$R$4*MAX(P27-W27,0),0),0)/J27,2),0))</f>
        <v>0.1</v>
      </c>
      <c r="AJ27" s="45">
        <f t="shared" si="16"/>
        <v>0</v>
      </c>
      <c r="AK27" s="45">
        <f t="shared" si="17"/>
        <v>42387.739773851907</v>
      </c>
      <c r="AL27" s="47">
        <f t="shared" si="18"/>
        <v>0.32</v>
      </c>
      <c r="AM27" s="47">
        <f t="shared" si="19"/>
        <v>0.45999999999999996</v>
      </c>
      <c r="AN27" s="87">
        <f>IFERROR(INDEX(FeeCalc!P:P,MATCH(C27,FeeCalc!F:F,0)),0)</f>
        <v>204907.57420146291</v>
      </c>
      <c r="AO27" s="87">
        <f>IFERROR(INDEX(FeeCalc!S:S,MATCH(C27,FeeCalc!F:F,0)),0)</f>
        <v>12552.430054814264</v>
      </c>
      <c r="AP27" s="87">
        <f t="shared" si="20"/>
        <v>217460.00425627717</v>
      </c>
      <c r="AQ27" s="72">
        <f t="shared" si="21"/>
        <v>92275.238526074623</v>
      </c>
      <c r="AR27" s="72">
        <f t="shared" si="22"/>
        <v>46137.619263037312</v>
      </c>
      <c r="AS27" s="72">
        <f t="shared" si="23"/>
        <v>46137.619263037312</v>
      </c>
      <c r="AT27" s="72">
        <f>IFERROR(IFERROR(INDEX('2023 IP UPL Data'!L:L,MATCH(A:A,'2023 IP UPL Data'!B:B,0)),INDEX('2023 IMD UPL Data'!I:I,MATCH(A:A,'2023 IMD UPL Data'!B:B,0))),0)</f>
        <v>22241.070637703484</v>
      </c>
      <c r="AU27" s="72">
        <f>IFERROR(IF(F25="IMD",0,INDEX('2023 OP UPL Data'!J:J,MATCH(A:A,'2023 OP UPL Data'!B:B,0))),0)</f>
        <v>177053.04223463684</v>
      </c>
      <c r="AV27" s="45">
        <f t="shared" si="24"/>
        <v>199294.11287234034</v>
      </c>
      <c r="AW27" s="72">
        <f>IFERROR(IFERROR(INDEX('2023 IP UPL Data'!M:M,MATCH(A:A,'2023 IP UPL Data'!B:B,0)),INDEX('2023 IMD UPL Data'!K:K,MATCH(A:A,'2023 IMD UPL Data'!B:B,0))),0)</f>
        <v>74773.009999999995</v>
      </c>
      <c r="AX27" s="72">
        <f>IFERROR(IF(F25="IMD",0,INDEX('2023 OP UPL Data'!L:L,MATCH(A:A,'2023 OP UPL Data'!B:B,0))),0)</f>
        <v>201801.29</v>
      </c>
      <c r="AY27" s="45">
        <f t="shared" si="25"/>
        <v>276574.3</v>
      </c>
      <c r="AZ27" s="72">
        <v>77799.119139419388</v>
      </c>
      <c r="BA27" s="72">
        <v>515815.95182802749</v>
      </c>
      <c r="BB27" s="72">
        <f t="shared" si="26"/>
        <v>67875.147897675197</v>
      </c>
      <c r="BC27" s="72">
        <f t="shared" si="27"/>
        <v>363220.08864216064</v>
      </c>
      <c r="BD27" s="72">
        <f t="shared" si="28"/>
        <v>431095.23653983587</v>
      </c>
      <c r="BE27" s="94">
        <f t="shared" si="29"/>
        <v>3026.1091394193936</v>
      </c>
      <c r="BF27" s="94">
        <f t="shared" si="30"/>
        <v>314014.66182802746</v>
      </c>
      <c r="BG27" s="73">
        <f>IFERROR(INDEX('2023 IP UPL Data'!K:K,MATCH(A27,'2023 IP UPL Data'!B:B,0)),0)</f>
        <v>0</v>
      </c>
    </row>
    <row r="28" spans="1:59">
      <c r="A28" s="124" t="s">
        <v>3152</v>
      </c>
      <c r="B28" s="31" t="s">
        <v>326</v>
      </c>
      <c r="C28" s="31" t="s">
        <v>327</v>
      </c>
      <c r="D28" s="180" t="s">
        <v>327</v>
      </c>
      <c r="E28" s="144" t="s">
        <v>3439</v>
      </c>
      <c r="F28" s="44" t="s">
        <v>2718</v>
      </c>
      <c r="G28" s="43" t="s">
        <v>487</v>
      </c>
      <c r="H28" s="43" t="str">
        <f t="shared" si="2"/>
        <v>Urban Bexar</v>
      </c>
      <c r="I28" s="45">
        <f>INDEX(FeeCalc!M:M,MATCH(C:C,FeeCalc!F:F,0))</f>
        <v>1594395.7969017553</v>
      </c>
      <c r="J28" s="45">
        <f>INDEX(FeeCalc!L:L,MATCH(C:C,FeeCalc!F:F,0))</f>
        <v>578248.14626161812</v>
      </c>
      <c r="K28" s="45">
        <f t="shared" si="3"/>
        <v>2172643.9431633735</v>
      </c>
      <c r="L28" s="45">
        <f>IFERROR(IFERROR(INDEX('2023 IP UPL Data'!N:N,MATCH(A:A,'2023 IP UPL Data'!B:B,0)),INDEX('2023 IMD UPL Data'!M:M,MATCH(A:A,'2023 IMD UPL Data'!B:B,0))),0)</f>
        <v>1351072.7120858897</v>
      </c>
      <c r="M28" s="45">
        <f>IFERROR((IF(F28="IMD",0,INDEX('2023 OP UPL Data'!M:M,MATCH(A:A,'2023 OP UPL Data'!B:B,0)))),0)</f>
        <v>62614.263312883442</v>
      </c>
      <c r="N28" s="45">
        <f t="shared" si="4"/>
        <v>1413686.9753987731</v>
      </c>
      <c r="O28" s="45">
        <v>529530.47562343138</v>
      </c>
      <c r="P28" s="45">
        <v>-6022.5022209534654</v>
      </c>
      <c r="Q28" s="45">
        <f t="shared" si="5"/>
        <v>523507.97340247792</v>
      </c>
      <c r="R28" s="45" t="str">
        <f t="shared" si="6"/>
        <v>Yes</v>
      </c>
      <c r="S28" s="46" t="str">
        <f t="shared" si="7"/>
        <v>No</v>
      </c>
      <c r="T28" s="47">
        <f>ROUND(INDEX(Summary!H:H,MATCH(H:H,Summary!A:A,0)),2)</f>
        <v>0.71</v>
      </c>
      <c r="U28" s="47">
        <f>ROUND(INDEX(Summary!I:I,MATCH(H:H,Summary!A:A,0)),2)</f>
        <v>0.67</v>
      </c>
      <c r="V28" s="85">
        <f t="shared" si="8"/>
        <v>1132021.0158002463</v>
      </c>
      <c r="W28" s="85">
        <f t="shared" si="9"/>
        <v>387426.25799528416</v>
      </c>
      <c r="X28" s="45">
        <f t="shared" si="10"/>
        <v>1519447.2737955304</v>
      </c>
      <c r="Y28" s="45" t="s">
        <v>3223</v>
      </c>
      <c r="Z28" s="45" t="str">
        <f t="shared" si="11"/>
        <v>No</v>
      </c>
      <c r="AA28" s="45" t="str">
        <f t="shared" si="12"/>
        <v>No</v>
      </c>
      <c r="AB28" s="45" t="str">
        <f t="shared" si="13"/>
        <v>No</v>
      </c>
      <c r="AC28" s="86">
        <f t="shared" si="31"/>
        <v>0</v>
      </c>
      <c r="AD28" s="86">
        <f t="shared" si="32"/>
        <v>0</v>
      </c>
      <c r="AE28" s="45">
        <f t="shared" si="33"/>
        <v>0</v>
      </c>
      <c r="AF28" s="45">
        <f t="shared" si="14"/>
        <v>0</v>
      </c>
      <c r="AG28" s="45">
        <f t="shared" si="15"/>
        <v>0</v>
      </c>
      <c r="AH28" s="47">
        <f>IF(Y28="No",0,IFERROR(ROUNDDOWN(INDEX('90% of ACR'!K:K,MATCH(H:H,'90% of ACR'!A:A,0))*IF(I28&gt;0,IF(O28&gt;0,$R$4*MAX(O28-V28,0),0),0)/I28,2),0))</f>
        <v>0</v>
      </c>
      <c r="AI28" s="86">
        <f>IF(Y28="No",0,IFERROR(ROUNDDOWN(INDEX('90% of ACR'!R:R,MATCH(H:H,'90% of ACR'!A:A,0))*IF(J28&gt;0,IF(P28&gt;0,$R$4*MAX(P28-W28,0),0),0)/J28,2),0))</f>
        <v>0</v>
      </c>
      <c r="AJ28" s="45">
        <f t="shared" si="16"/>
        <v>0</v>
      </c>
      <c r="AK28" s="45">
        <f t="shared" si="17"/>
        <v>0</v>
      </c>
      <c r="AL28" s="47">
        <f t="shared" si="18"/>
        <v>0.71</v>
      </c>
      <c r="AM28" s="47">
        <f t="shared" si="19"/>
        <v>0.67</v>
      </c>
      <c r="AN28" s="87">
        <f>IFERROR(INDEX(FeeCalc!P:P,MATCH(C28,FeeCalc!F:F,0)),0)</f>
        <v>1519447.2737955304</v>
      </c>
      <c r="AO28" s="87">
        <f>IFERROR(INDEX(FeeCalc!S:S,MATCH(C28,FeeCalc!F:F,0)),0)</f>
        <v>95137.805699805234</v>
      </c>
      <c r="AP28" s="87">
        <f t="shared" si="20"/>
        <v>1614585.0794953357</v>
      </c>
      <c r="AQ28" s="72">
        <f t="shared" si="21"/>
        <v>685120.11595241481</v>
      </c>
      <c r="AR28" s="72">
        <f t="shared" si="22"/>
        <v>342560.0579762074</v>
      </c>
      <c r="AS28" s="72">
        <f t="shared" si="23"/>
        <v>342560.0579762074</v>
      </c>
      <c r="AT28" s="72">
        <f>IFERROR(IFERROR(INDEX('2023 IP UPL Data'!L:L,MATCH(A:A,'2023 IP UPL Data'!B:B,0)),INDEX('2023 IMD UPL Data'!I:I,MATCH(A:A,'2023 IMD UPL Data'!B:B,0))),0)</f>
        <v>1337410.1779141105</v>
      </c>
      <c r="AU28" s="72">
        <f>IFERROR(IF(F26="IMD",0,INDEX('2023 OP UPL Data'!J:J,MATCH(A:A,'2023 OP UPL Data'!B:B,0))),0)</f>
        <v>212611.57668711658</v>
      </c>
      <c r="AV28" s="45">
        <f t="shared" si="24"/>
        <v>1550021.7546012271</v>
      </c>
      <c r="AW28" s="72">
        <f>IFERROR(IFERROR(INDEX('2023 IP UPL Data'!M:M,MATCH(A:A,'2023 IP UPL Data'!B:B,0)),INDEX('2023 IMD UPL Data'!K:K,MATCH(A:A,'2023 IMD UPL Data'!B:B,0))),0)</f>
        <v>2688482.89</v>
      </c>
      <c r="AX28" s="72">
        <f>IFERROR(IF(F26="IMD",0,INDEX('2023 OP UPL Data'!L:L,MATCH(A:A,'2023 OP UPL Data'!B:B,0))),0)</f>
        <v>275225.84000000003</v>
      </c>
      <c r="AY28" s="45">
        <f t="shared" si="25"/>
        <v>2963708.73</v>
      </c>
      <c r="AZ28" s="72">
        <v>1866940.6535375419</v>
      </c>
      <c r="BA28" s="72">
        <v>206589.07446616312</v>
      </c>
      <c r="BB28" s="72">
        <f t="shared" si="26"/>
        <v>734919.63773729559</v>
      </c>
      <c r="BC28" s="72">
        <f t="shared" si="27"/>
        <v>0</v>
      </c>
      <c r="BD28" s="72">
        <f t="shared" si="28"/>
        <v>554082.45420817449</v>
      </c>
      <c r="BE28" s="94">
        <f t="shared" si="29"/>
        <v>0</v>
      </c>
      <c r="BF28" s="94">
        <f t="shared" si="30"/>
        <v>0</v>
      </c>
      <c r="BG28" s="73">
        <f>IFERROR(INDEX('2023 IP UPL Data'!K:K,MATCH(A28,'2023 IP UPL Data'!B:B,0)),0)</f>
        <v>0</v>
      </c>
    </row>
    <row r="29" spans="1:59">
      <c r="A29" s="124" t="s">
        <v>1539</v>
      </c>
      <c r="B29" s="31" t="s">
        <v>1539</v>
      </c>
      <c r="C29" s="31" t="s">
        <v>1540</v>
      </c>
      <c r="D29" s="180" t="s">
        <v>1540</v>
      </c>
      <c r="E29" s="144" t="s">
        <v>3440</v>
      </c>
      <c r="F29" s="44" t="s">
        <v>2718</v>
      </c>
      <c r="G29" s="43" t="s">
        <v>1553</v>
      </c>
      <c r="H29" s="43" t="str">
        <f t="shared" si="2"/>
        <v>Urban Nueces</v>
      </c>
      <c r="I29" s="45">
        <f>INDEX(FeeCalc!M:M,MATCH(C:C,FeeCalc!F:F,0))</f>
        <v>1177368.0845887498</v>
      </c>
      <c r="J29" s="45">
        <f>INDEX(FeeCalc!L:L,MATCH(C:C,FeeCalc!F:F,0))</f>
        <v>62962.491280020244</v>
      </c>
      <c r="K29" s="45">
        <f t="shared" si="3"/>
        <v>1240330.57586877</v>
      </c>
      <c r="L29" s="45">
        <f>IFERROR(IFERROR(INDEX('2023 IP UPL Data'!N:N,MATCH(A:A,'2023 IP UPL Data'!B:B,0)),INDEX('2023 IMD UPL Data'!M:M,MATCH(A:A,'2023 IMD UPL Data'!B:B,0))),0)</f>
        <v>531602.43296296289</v>
      </c>
      <c r="M29" s="45">
        <f>IFERROR((IF(F29="IMD",0,INDEX('2023 OP UPL Data'!M:M,MATCH(A:A,'2023 OP UPL Data'!B:B,0)))),0)</f>
        <v>-32229.114691358016</v>
      </c>
      <c r="N29" s="45">
        <f t="shared" si="4"/>
        <v>499373.31827160489</v>
      </c>
      <c r="O29" s="45">
        <v>128201.20356775663</v>
      </c>
      <c r="P29" s="45">
        <v>-9717.4185116596054</v>
      </c>
      <c r="Q29" s="45">
        <f t="shared" si="5"/>
        <v>118483.78505609703</v>
      </c>
      <c r="R29" s="45" t="str">
        <f t="shared" si="6"/>
        <v>Yes</v>
      </c>
      <c r="S29" s="46" t="str">
        <f t="shared" si="7"/>
        <v>No</v>
      </c>
      <c r="T29" s="47">
        <f>ROUND(INDEX(Summary!H:H,MATCH(H:H,Summary!A:A,0)),2)</f>
        <v>0.66</v>
      </c>
      <c r="U29" s="47">
        <f>ROUND(INDEX(Summary!I:I,MATCH(H:H,Summary!A:A,0)),2)</f>
        <v>1.49</v>
      </c>
      <c r="V29" s="85">
        <f t="shared" si="8"/>
        <v>777062.93582857493</v>
      </c>
      <c r="W29" s="85">
        <f t="shared" si="9"/>
        <v>93814.112007230156</v>
      </c>
      <c r="X29" s="45">
        <f t="shared" si="10"/>
        <v>870877.0478358051</v>
      </c>
      <c r="Y29" s="45" t="s">
        <v>3223</v>
      </c>
      <c r="Z29" s="45" t="str">
        <f t="shared" si="11"/>
        <v>No</v>
      </c>
      <c r="AA29" s="45" t="str">
        <f t="shared" si="12"/>
        <v>No</v>
      </c>
      <c r="AB29" s="45" t="str">
        <f t="shared" si="13"/>
        <v>No</v>
      </c>
      <c r="AC29" s="86">
        <f t="shared" si="31"/>
        <v>0</v>
      </c>
      <c r="AD29" s="86">
        <f t="shared" si="32"/>
        <v>0</v>
      </c>
      <c r="AE29" s="45">
        <f t="shared" si="33"/>
        <v>0</v>
      </c>
      <c r="AF29" s="45">
        <f t="shared" si="14"/>
        <v>0</v>
      </c>
      <c r="AG29" s="45">
        <f t="shared" si="15"/>
        <v>0</v>
      </c>
      <c r="AH29" s="47">
        <f>IF(Y29="No",0,IFERROR(ROUNDDOWN(INDEX('90% of ACR'!K:K,MATCH(H:H,'90% of ACR'!A:A,0))*IF(I29&gt;0,IF(O29&gt;0,$R$4*MAX(O29-V29,0),0),0)/I29,2),0))</f>
        <v>0</v>
      </c>
      <c r="AI29" s="86">
        <f>IF(Y29="No",0,IFERROR(ROUNDDOWN(INDEX('90% of ACR'!R:R,MATCH(H:H,'90% of ACR'!A:A,0))*IF(J29&gt;0,IF(P29&gt;0,$R$4*MAX(P29-W29,0),0),0)/J29,2),0))</f>
        <v>0</v>
      </c>
      <c r="AJ29" s="45">
        <f t="shared" si="16"/>
        <v>0</v>
      </c>
      <c r="AK29" s="45">
        <f t="shared" si="17"/>
        <v>0</v>
      </c>
      <c r="AL29" s="47">
        <f t="shared" si="18"/>
        <v>0.66</v>
      </c>
      <c r="AM29" s="47">
        <f t="shared" si="19"/>
        <v>1.49</v>
      </c>
      <c r="AN29" s="87">
        <f>IFERROR(INDEX(FeeCalc!P:P,MATCH(C29,FeeCalc!F:F,0)),0)</f>
        <v>870877.0478358051</v>
      </c>
      <c r="AO29" s="87">
        <f>IFERROR(INDEX(FeeCalc!S:S,MATCH(C29,FeeCalc!F:F,0)),0)</f>
        <v>54010.785909637169</v>
      </c>
      <c r="AP29" s="87">
        <f t="shared" si="20"/>
        <v>924887.83374544233</v>
      </c>
      <c r="AQ29" s="72">
        <f t="shared" si="21"/>
        <v>392459.5042688711</v>
      </c>
      <c r="AR29" s="72">
        <f t="shared" si="22"/>
        <v>196229.75213443555</v>
      </c>
      <c r="AS29" s="72">
        <f t="shared" si="23"/>
        <v>196229.75213443555</v>
      </c>
      <c r="AT29" s="72">
        <f>IFERROR(IFERROR(INDEX('2023 IP UPL Data'!L:L,MATCH(A:A,'2023 IP UPL Data'!B:B,0)),INDEX('2023 IMD UPL Data'!I:I,MATCH(A:A,'2023 IMD UPL Data'!B:B,0))),0)</f>
        <v>512837.03703703702</v>
      </c>
      <c r="AU29" s="72">
        <f>IFERROR(IF(F27="IMD",0,INDEX('2023 OP UPL Data'!J:J,MATCH(A:A,'2023 OP UPL Data'!B:B,0))),0)</f>
        <v>78276.024691358019</v>
      </c>
      <c r="AV29" s="45">
        <f t="shared" si="24"/>
        <v>591113.06172839506</v>
      </c>
      <c r="AW29" s="72">
        <f>IFERROR(IFERROR(INDEX('2023 IP UPL Data'!M:M,MATCH(A:A,'2023 IP UPL Data'!B:B,0)),INDEX('2023 IMD UPL Data'!K:K,MATCH(A:A,'2023 IMD UPL Data'!B:B,0))),0)</f>
        <v>1044439.47</v>
      </c>
      <c r="AX29" s="72">
        <f>IFERROR(IF(F27="IMD",0,INDEX('2023 OP UPL Data'!L:L,MATCH(A:A,'2023 OP UPL Data'!B:B,0))),0)</f>
        <v>46046.91</v>
      </c>
      <c r="AY29" s="45">
        <f t="shared" si="25"/>
        <v>1090486.3799999999</v>
      </c>
      <c r="AZ29" s="72">
        <v>641038.24060479365</v>
      </c>
      <c r="BA29" s="72">
        <v>68558.606179698414</v>
      </c>
      <c r="BB29" s="72">
        <f t="shared" si="26"/>
        <v>0</v>
      </c>
      <c r="BC29" s="72">
        <f t="shared" si="27"/>
        <v>0</v>
      </c>
      <c r="BD29" s="72">
        <f t="shared" si="28"/>
        <v>0</v>
      </c>
      <c r="BE29" s="94">
        <f t="shared" si="29"/>
        <v>0</v>
      </c>
      <c r="BF29" s="94">
        <f t="shared" si="30"/>
        <v>22511.696179698411</v>
      </c>
      <c r="BG29" s="73">
        <f>IFERROR(INDEX('2023 IP UPL Data'!K:K,MATCH(A29,'2023 IP UPL Data'!B:B,0)),0)</f>
        <v>0</v>
      </c>
    </row>
    <row r="30" spans="1:59">
      <c r="A30" s="124" t="s">
        <v>162</v>
      </c>
      <c r="B30" s="31" t="s">
        <v>162</v>
      </c>
      <c r="C30" s="31" t="s">
        <v>163</v>
      </c>
      <c r="D30" s="180" t="s">
        <v>163</v>
      </c>
      <c r="E30" s="144" t="s">
        <v>3323</v>
      </c>
      <c r="F30" s="44" t="s">
        <v>2718</v>
      </c>
      <c r="G30" s="43" t="s">
        <v>1517</v>
      </c>
      <c r="H30" s="43" t="str">
        <f t="shared" si="2"/>
        <v>Urban Hidalgo</v>
      </c>
      <c r="I30" s="45">
        <f>INDEX(FeeCalc!M:M,MATCH(C:C,FeeCalc!F:F,0))</f>
        <v>2357988.9315412375</v>
      </c>
      <c r="J30" s="45">
        <f>INDEX(FeeCalc!L:L,MATCH(C:C,FeeCalc!F:F,0))</f>
        <v>1417297.3050663127</v>
      </c>
      <c r="K30" s="45">
        <f t="shared" si="3"/>
        <v>3775286.2366075502</v>
      </c>
      <c r="L30" s="45">
        <f>IFERROR(IFERROR(INDEX('2023 IP UPL Data'!N:N,MATCH(A:A,'2023 IP UPL Data'!B:B,0)),INDEX('2023 IMD UPL Data'!M:M,MATCH(A:A,'2023 IMD UPL Data'!B:B,0))),0)</f>
        <v>2212582.6884615384</v>
      </c>
      <c r="M30" s="45">
        <f>IFERROR((IF(F30="IMD",0,INDEX('2023 OP UPL Data'!M:M,MATCH(A:A,'2023 OP UPL Data'!B:B,0)))),0)</f>
        <v>2833409.6754437871</v>
      </c>
      <c r="N30" s="45">
        <f t="shared" si="4"/>
        <v>5045992.3639053255</v>
      </c>
      <c r="O30" s="45">
        <v>2429135.2220413433</v>
      </c>
      <c r="P30" s="45">
        <v>2188268.2311157347</v>
      </c>
      <c r="Q30" s="45">
        <f t="shared" si="5"/>
        <v>4617403.4531570785</v>
      </c>
      <c r="R30" s="45" t="str">
        <f t="shared" si="6"/>
        <v>Yes</v>
      </c>
      <c r="S30" s="46" t="str">
        <f t="shared" si="7"/>
        <v>Yes</v>
      </c>
      <c r="T30" s="47">
        <f>ROUND(INDEX(Summary!H:H,MATCH(H:H,Summary!A:A,0)),2)</f>
        <v>1.21</v>
      </c>
      <c r="U30" s="47">
        <f>ROUND(INDEX(Summary!I:I,MATCH(H:H,Summary!A:A,0)),2)</f>
        <v>0.94</v>
      </c>
      <c r="V30" s="85">
        <f t="shared" si="8"/>
        <v>2853166.6071648975</v>
      </c>
      <c r="W30" s="85">
        <f t="shared" si="9"/>
        <v>1332259.4667623339</v>
      </c>
      <c r="X30" s="45">
        <f t="shared" si="10"/>
        <v>4185426.0739272311</v>
      </c>
      <c r="Y30" s="45" t="s">
        <v>3223</v>
      </c>
      <c r="Z30" s="45" t="str">
        <f t="shared" si="11"/>
        <v>No</v>
      </c>
      <c r="AA30" s="45" t="str">
        <f t="shared" si="12"/>
        <v>Yes</v>
      </c>
      <c r="AB30" s="45" t="str">
        <f t="shared" si="13"/>
        <v>Yes</v>
      </c>
      <c r="AC30" s="86">
        <f t="shared" si="31"/>
        <v>0</v>
      </c>
      <c r="AD30" s="86">
        <f t="shared" si="32"/>
        <v>0.42</v>
      </c>
      <c r="AE30" s="45">
        <f t="shared" si="33"/>
        <v>0</v>
      </c>
      <c r="AF30" s="45">
        <f t="shared" si="14"/>
        <v>595264.86812785128</v>
      </c>
      <c r="AG30" s="45">
        <f t="shared" si="15"/>
        <v>595264.86812785128</v>
      </c>
      <c r="AH30" s="47">
        <f>IF(Y30="No",0,IFERROR(ROUNDDOWN(INDEX('90% of ACR'!K:K,MATCH(H:H,'90% of ACR'!A:A,0))*IF(I30&gt;0,IF(O30&gt;0,$R$4*MAX(O30-V30,0),0),0)/I30,2),0))</f>
        <v>0</v>
      </c>
      <c r="AI30" s="86">
        <f>IF(Y30="No",0,IFERROR(ROUNDDOWN(INDEX('90% of ACR'!R:R,MATCH(H:H,'90% of ACR'!A:A,0))*IF(J30&gt;0,IF(P30&gt;0,$R$4*MAX(P30-W30,0),0),0)/J30,2),0))</f>
        <v>0.3</v>
      </c>
      <c r="AJ30" s="45">
        <f t="shared" si="16"/>
        <v>0</v>
      </c>
      <c r="AK30" s="45">
        <f t="shared" si="17"/>
        <v>425189.19151989376</v>
      </c>
      <c r="AL30" s="47">
        <f t="shared" si="18"/>
        <v>1.21</v>
      </c>
      <c r="AM30" s="47">
        <f t="shared" si="19"/>
        <v>1.24</v>
      </c>
      <c r="AN30" s="87">
        <f>IFERROR(INDEX(FeeCalc!P:P,MATCH(C30,FeeCalc!F:F,0)),0)</f>
        <v>4610615.2654471248</v>
      </c>
      <c r="AO30" s="87">
        <f>IFERROR(INDEX(FeeCalc!S:S,MATCH(C30,FeeCalc!F:F,0)),0)</f>
        <v>287043.48402858624</v>
      </c>
      <c r="AP30" s="87">
        <f t="shared" si="20"/>
        <v>4897658.749475711</v>
      </c>
      <c r="AQ30" s="72">
        <f t="shared" si="21"/>
        <v>2078233.3324825277</v>
      </c>
      <c r="AR30" s="72">
        <f t="shared" si="22"/>
        <v>1039116.6662412639</v>
      </c>
      <c r="AS30" s="72">
        <f t="shared" si="23"/>
        <v>1039116.6662412639</v>
      </c>
      <c r="AT30" s="72">
        <f>IFERROR(IFERROR(INDEX('2023 IP UPL Data'!L:L,MATCH(A:A,'2023 IP UPL Data'!B:B,0)),INDEX('2023 IMD UPL Data'!I:I,MATCH(A:A,'2023 IMD UPL Data'!B:B,0))),0)</f>
        <v>2456387.461538462</v>
      </c>
      <c r="AU30" s="72">
        <f>IFERROR(IF(F28="IMD",0,INDEX('2023 OP UPL Data'!J:J,MATCH(A:A,'2023 OP UPL Data'!B:B,0))),0)</f>
        <v>654777.67455621297</v>
      </c>
      <c r="AV30" s="45">
        <f t="shared" si="24"/>
        <v>3111165.1360946749</v>
      </c>
      <c r="AW30" s="72">
        <f>IFERROR(IFERROR(INDEX('2023 IP UPL Data'!M:M,MATCH(A:A,'2023 IP UPL Data'!B:B,0)),INDEX('2023 IMD UPL Data'!K:K,MATCH(A:A,'2023 IMD UPL Data'!B:B,0))),0)</f>
        <v>4668970.1500000004</v>
      </c>
      <c r="AX30" s="72">
        <f>IFERROR(IF(F28="IMD",0,INDEX('2023 OP UPL Data'!L:L,MATCH(A:A,'2023 OP UPL Data'!B:B,0))),0)</f>
        <v>3488187.35</v>
      </c>
      <c r="AY30" s="45">
        <f t="shared" si="25"/>
        <v>8157157.5</v>
      </c>
      <c r="AZ30" s="72">
        <v>4885522.6835798053</v>
      </c>
      <c r="BA30" s="72">
        <v>2843045.9056719476</v>
      </c>
      <c r="BB30" s="72">
        <f t="shared" si="26"/>
        <v>2032356.0764149078</v>
      </c>
      <c r="BC30" s="72">
        <f t="shared" si="27"/>
        <v>1510786.4389096138</v>
      </c>
      <c r="BD30" s="72">
        <f t="shared" si="28"/>
        <v>3543142.5153245218</v>
      </c>
      <c r="BE30" s="94">
        <f t="shared" si="29"/>
        <v>216552.53357980493</v>
      </c>
      <c r="BF30" s="94">
        <f t="shared" si="30"/>
        <v>0</v>
      </c>
      <c r="BG30" s="73">
        <f>IFERROR(INDEX('2023 IP UPL Data'!K:K,MATCH(A30,'2023 IP UPL Data'!B:B,0)),0)</f>
        <v>0</v>
      </c>
    </row>
    <row r="31" spans="1:59">
      <c r="A31" s="124" t="s">
        <v>1495</v>
      </c>
      <c r="B31" s="31" t="s">
        <v>3163</v>
      </c>
      <c r="C31" s="31" t="s">
        <v>1496</v>
      </c>
      <c r="D31" s="180" t="s">
        <v>1496</v>
      </c>
      <c r="E31" s="144" t="s">
        <v>3441</v>
      </c>
      <c r="F31" s="44" t="s">
        <v>2718</v>
      </c>
      <c r="G31" s="43" t="s">
        <v>223</v>
      </c>
      <c r="H31" s="43" t="str">
        <f t="shared" si="2"/>
        <v>Urban Dallas</v>
      </c>
      <c r="I31" s="45">
        <f>INDEX(FeeCalc!M:M,MATCH(C:C,FeeCalc!F:F,0))</f>
        <v>20322.939962884073</v>
      </c>
      <c r="J31" s="45">
        <f>INDEX(FeeCalc!L:L,MATCH(C:C,FeeCalc!F:F,0))</f>
        <v>5337.9191897040291</v>
      </c>
      <c r="K31" s="45">
        <f t="shared" si="3"/>
        <v>25660.859152588102</v>
      </c>
      <c r="L31" s="45">
        <f>IFERROR(IFERROR(INDEX('2023 IP UPL Data'!N:N,MATCH(A:A,'2023 IP UPL Data'!B:B,0)),INDEX('2023 IMD UPL Data'!M:M,MATCH(A:A,'2023 IMD UPL Data'!B:B,0))),0)</f>
        <v>73248.84</v>
      </c>
      <c r="M31" s="45">
        <f>IFERROR((IF(F31="IMD",0,INDEX('2023 OP UPL Data'!M:M,MATCH(A:A,'2023 OP UPL Data'!B:B,0)))),0)</f>
        <v>311.67626506024101</v>
      </c>
      <c r="N31" s="45">
        <f t="shared" si="4"/>
        <v>73560.516265060243</v>
      </c>
      <c r="O31" s="45">
        <v>18133.297492331636</v>
      </c>
      <c r="P31" s="45">
        <v>234.54591052121168</v>
      </c>
      <c r="Q31" s="45">
        <f t="shared" si="5"/>
        <v>18367.843402852846</v>
      </c>
      <c r="R31" s="45" t="str">
        <f t="shared" si="6"/>
        <v>Yes</v>
      </c>
      <c r="S31" s="46" t="str">
        <f t="shared" si="7"/>
        <v>Yes</v>
      </c>
      <c r="T31" s="47">
        <f>ROUND(INDEX(Summary!H:H,MATCH(H:H,Summary!A:A,0)),2)</f>
        <v>1.2</v>
      </c>
      <c r="U31" s="47">
        <f>ROUND(INDEX(Summary!I:I,MATCH(H:H,Summary!A:A,0)),2)</f>
        <v>1.08</v>
      </c>
      <c r="V31" s="85">
        <f t="shared" si="8"/>
        <v>24387.527955460886</v>
      </c>
      <c r="W31" s="85">
        <f t="shared" si="9"/>
        <v>5764.9527248803515</v>
      </c>
      <c r="X31" s="45">
        <f t="shared" si="10"/>
        <v>30152.480680341236</v>
      </c>
      <c r="Y31" s="45" t="s">
        <v>3223</v>
      </c>
      <c r="Z31" s="45" t="str">
        <f t="shared" si="11"/>
        <v>No</v>
      </c>
      <c r="AA31" s="45" t="str">
        <f t="shared" si="12"/>
        <v>No</v>
      </c>
      <c r="AB31" s="45" t="str">
        <f t="shared" si="13"/>
        <v>No</v>
      </c>
      <c r="AC31" s="86">
        <f t="shared" si="31"/>
        <v>0</v>
      </c>
      <c r="AD31" s="86">
        <f t="shared" si="32"/>
        <v>0</v>
      </c>
      <c r="AE31" s="45">
        <f t="shared" si="33"/>
        <v>0</v>
      </c>
      <c r="AF31" s="45">
        <f t="shared" si="14"/>
        <v>0</v>
      </c>
      <c r="AG31" s="45">
        <f t="shared" si="15"/>
        <v>0</v>
      </c>
      <c r="AH31" s="47">
        <f>IF(Y31="No",0,IFERROR(ROUNDDOWN(INDEX('90% of ACR'!K:K,MATCH(H:H,'90% of ACR'!A:A,0))*IF(I31&gt;0,IF(O31&gt;0,$R$4*MAX(O31-V31,0),0),0)/I31,2),0))</f>
        <v>0</v>
      </c>
      <c r="AI31" s="86">
        <f>IF(Y31="No",0,IFERROR(ROUNDDOWN(INDEX('90% of ACR'!R:R,MATCH(H:H,'90% of ACR'!A:A,0))*IF(J31&gt;0,IF(P31&gt;0,$R$4*MAX(P31-W31,0),0),0)/J31,2),0))</f>
        <v>0</v>
      </c>
      <c r="AJ31" s="45">
        <f t="shared" si="16"/>
        <v>0</v>
      </c>
      <c r="AK31" s="45">
        <f t="shared" si="17"/>
        <v>0</v>
      </c>
      <c r="AL31" s="47">
        <f t="shared" si="18"/>
        <v>1.2</v>
      </c>
      <c r="AM31" s="47">
        <f t="shared" si="19"/>
        <v>1.08</v>
      </c>
      <c r="AN31" s="87">
        <f>IFERROR(INDEX(FeeCalc!P:P,MATCH(C31,FeeCalc!F:F,0)),0)</f>
        <v>30152.480680341236</v>
      </c>
      <c r="AO31" s="87">
        <f>IFERROR(INDEX(FeeCalc!S:S,MATCH(C31,FeeCalc!F:F,0)),0)</f>
        <v>1924.6264264047604</v>
      </c>
      <c r="AP31" s="87">
        <f t="shared" si="20"/>
        <v>32077.107106745996</v>
      </c>
      <c r="AQ31" s="72">
        <f t="shared" si="21"/>
        <v>13611.343012819743</v>
      </c>
      <c r="AR31" s="72">
        <f t="shared" si="22"/>
        <v>6805.6715064098717</v>
      </c>
      <c r="AS31" s="72">
        <f t="shared" si="23"/>
        <v>6805.6715064098717</v>
      </c>
      <c r="AT31" s="72">
        <f>IFERROR(IFERROR(INDEX('2023 IP UPL Data'!L:L,MATCH(A:A,'2023 IP UPL Data'!B:B,0)),INDEX('2023 IMD UPL Data'!I:I,MATCH(A:A,'2023 IMD UPL Data'!B:B,0))),0)</f>
        <v>61200</v>
      </c>
      <c r="AU31" s="72">
        <f>IFERROR(IF(F29="IMD",0,INDEX('2023 OP UPL Data'!J:J,MATCH(A:A,'2023 OP UPL Data'!B:B,0))),0)</f>
        <v>576.43373493975901</v>
      </c>
      <c r="AV31" s="45">
        <f t="shared" si="24"/>
        <v>61776.433734939761</v>
      </c>
      <c r="AW31" s="72">
        <f>IFERROR(IFERROR(INDEX('2023 IP UPL Data'!M:M,MATCH(A:A,'2023 IP UPL Data'!B:B,0)),INDEX('2023 IMD UPL Data'!K:K,MATCH(A:A,'2023 IMD UPL Data'!B:B,0))),0)</f>
        <v>134448.84</v>
      </c>
      <c r="AX31" s="72">
        <f>IFERROR(IF(F29="IMD",0,INDEX('2023 OP UPL Data'!L:L,MATCH(A:A,'2023 OP UPL Data'!B:B,0))),0)</f>
        <v>888.11</v>
      </c>
      <c r="AY31" s="45">
        <f t="shared" si="25"/>
        <v>135336.94999999998</v>
      </c>
      <c r="AZ31" s="72">
        <v>79333.297492331636</v>
      </c>
      <c r="BA31" s="72">
        <v>810.97964546097069</v>
      </c>
      <c r="BB31" s="72">
        <f t="shared" si="26"/>
        <v>54945.76953687075</v>
      </c>
      <c r="BC31" s="72">
        <f t="shared" si="27"/>
        <v>0</v>
      </c>
      <c r="BD31" s="72">
        <f t="shared" si="28"/>
        <v>49991.796457451375</v>
      </c>
      <c r="BE31" s="94">
        <f t="shared" si="29"/>
        <v>0</v>
      </c>
      <c r="BF31" s="94">
        <f t="shared" si="30"/>
        <v>0</v>
      </c>
      <c r="BG31" s="73">
        <f>IFERROR(INDEX('2023 IP UPL Data'!K:K,MATCH(A31,'2023 IP UPL Data'!B:B,0)),0)</f>
        <v>0</v>
      </c>
    </row>
    <row r="32" spans="1:59">
      <c r="A32" s="124" t="s">
        <v>323</v>
      </c>
      <c r="B32" s="31" t="s">
        <v>323</v>
      </c>
      <c r="C32" s="31" t="s">
        <v>324</v>
      </c>
      <c r="D32" s="180" t="s">
        <v>324</v>
      </c>
      <c r="E32" s="144" t="s">
        <v>3442</v>
      </c>
      <c r="F32" s="44" t="s">
        <v>2768</v>
      </c>
      <c r="G32" s="43" t="s">
        <v>1202</v>
      </c>
      <c r="H32" s="43" t="str">
        <f t="shared" si="2"/>
        <v>Rural Travis</v>
      </c>
      <c r="I32" s="45">
        <f>INDEX(FeeCalc!M:M,MATCH(C:C,FeeCalc!F:F,0))</f>
        <v>0</v>
      </c>
      <c r="J32" s="45">
        <f>INDEX(FeeCalc!L:L,MATCH(C:C,FeeCalc!F:F,0))</f>
        <v>37783.676362694809</v>
      </c>
      <c r="K32" s="45">
        <f t="shared" si="3"/>
        <v>37783.676362694809</v>
      </c>
      <c r="L32" s="45">
        <f>IFERROR(IFERROR(INDEX('2023 IP UPL Data'!N:N,MATCH(A:A,'2023 IP UPL Data'!B:B,0)),INDEX('2023 IMD UPL Data'!M:M,MATCH(A:A,'2023 IMD UPL Data'!B:B,0))),0)</f>
        <v>121184.48000000001</v>
      </c>
      <c r="M32" s="45">
        <f>IFERROR((IF(F32="IMD",0,INDEX('2023 OP UPL Data'!M:M,MATCH(A:A,'2023 OP UPL Data'!B:B,0)))),0)</f>
        <v>6314.4637974683574</v>
      </c>
      <c r="N32" s="45">
        <f t="shared" si="4"/>
        <v>127498.94379746837</v>
      </c>
      <c r="O32" s="45">
        <v>65250.21674879991</v>
      </c>
      <c r="P32" s="45">
        <v>28002.229435161087</v>
      </c>
      <c r="Q32" s="45">
        <f t="shared" si="5"/>
        <v>93252.446183961001</v>
      </c>
      <c r="R32" s="45" t="str">
        <f t="shared" si="6"/>
        <v>Yes</v>
      </c>
      <c r="S32" s="46" t="str">
        <f t="shared" si="7"/>
        <v>Yes</v>
      </c>
      <c r="T32" s="47">
        <f>ROUND(INDEX(Summary!H:H,MATCH(H:H,Summary!A:A,0)),2)</f>
        <v>0</v>
      </c>
      <c r="U32" s="47">
        <f>ROUND(INDEX(Summary!I:I,MATCH(H:H,Summary!A:A,0)),2)</f>
        <v>0.17</v>
      </c>
      <c r="V32" s="85">
        <f t="shared" si="8"/>
        <v>0</v>
      </c>
      <c r="W32" s="85">
        <f t="shared" si="9"/>
        <v>6423.2249816581179</v>
      </c>
      <c r="X32" s="45">
        <f t="shared" si="10"/>
        <v>6423.2249816581179</v>
      </c>
      <c r="Y32" s="45" t="s">
        <v>3223</v>
      </c>
      <c r="Z32" s="45" t="str">
        <f t="shared" si="11"/>
        <v>No</v>
      </c>
      <c r="AA32" s="45" t="str">
        <f t="shared" si="12"/>
        <v>Yes</v>
      </c>
      <c r="AB32" s="45" t="str">
        <f t="shared" si="13"/>
        <v>Yes</v>
      </c>
      <c r="AC32" s="86">
        <f t="shared" si="31"/>
        <v>0</v>
      </c>
      <c r="AD32" s="86">
        <f t="shared" si="32"/>
        <v>0.4</v>
      </c>
      <c r="AE32" s="45">
        <f t="shared" si="33"/>
        <v>0</v>
      </c>
      <c r="AF32" s="45">
        <f t="shared" si="14"/>
        <v>15113.470545077924</v>
      </c>
      <c r="AG32" s="45">
        <f t="shared" si="15"/>
        <v>15113.470545077924</v>
      </c>
      <c r="AH32" s="47">
        <f>IF(Y32="No",0,IFERROR(ROUNDDOWN(INDEX('90% of ACR'!K:K,MATCH(H:H,'90% of ACR'!A:A,0))*IF(I32&gt;0,IF(O32&gt;0,$R$4*MAX(O32-V32,0),0),0)/I32,2),0))</f>
        <v>0</v>
      </c>
      <c r="AI32" s="86">
        <f>IF(Y32="No",0,IFERROR(ROUNDDOWN(INDEX('90% of ACR'!R:R,MATCH(H:H,'90% of ACR'!A:A,0))*IF(J32&gt;0,IF(P32&gt;0,$R$4*MAX(P32-W32,0),0),0)/J32,2),0))</f>
        <v>0.39</v>
      </c>
      <c r="AJ32" s="45">
        <f t="shared" si="16"/>
        <v>0</v>
      </c>
      <c r="AK32" s="45">
        <f t="shared" si="17"/>
        <v>14735.633781450975</v>
      </c>
      <c r="AL32" s="47">
        <f t="shared" si="18"/>
        <v>0</v>
      </c>
      <c r="AM32" s="47">
        <f t="shared" si="19"/>
        <v>0.56000000000000005</v>
      </c>
      <c r="AN32" s="87">
        <f>IFERROR(INDEX(FeeCalc!P:P,MATCH(C32,FeeCalc!F:F,0)),0)</f>
        <v>21158.858763109096</v>
      </c>
      <c r="AO32" s="87">
        <f>IFERROR(INDEX(FeeCalc!S:S,MATCH(C32,FeeCalc!F:F,0)),0)</f>
        <v>1320.4925555834861</v>
      </c>
      <c r="AP32" s="87">
        <f t="shared" si="20"/>
        <v>22479.351318692581</v>
      </c>
      <c r="AQ32" s="72">
        <f t="shared" si="21"/>
        <v>9538.7081037634616</v>
      </c>
      <c r="AR32" s="72">
        <f t="shared" si="22"/>
        <v>4769.3540518817308</v>
      </c>
      <c r="AS32" s="72">
        <f t="shared" si="23"/>
        <v>4769.3540518817308</v>
      </c>
      <c r="AT32" s="72">
        <f>IFERROR(IFERROR(INDEX('2023 IP UPL Data'!L:L,MATCH(A:A,'2023 IP UPL Data'!B:B,0)),INDEX('2023 IMD UPL Data'!I:I,MATCH(A:A,'2023 IMD UPL Data'!B:B,0))),0)</f>
        <v>0.01</v>
      </c>
      <c r="AU32" s="72">
        <f>IFERROR(IF(F30="IMD",0,INDEX('2023 OP UPL Data'!J:J,MATCH(A:A,'2023 OP UPL Data'!B:B,0))),0)</f>
        <v>13129.056202531643</v>
      </c>
      <c r="AV32" s="45">
        <f t="shared" si="24"/>
        <v>13129.066202531643</v>
      </c>
      <c r="AW32" s="72">
        <f>IFERROR(IFERROR(INDEX('2023 IP UPL Data'!M:M,MATCH(A:A,'2023 IP UPL Data'!B:B,0)),INDEX('2023 IMD UPL Data'!K:K,MATCH(A:A,'2023 IMD UPL Data'!B:B,0))),0)</f>
        <v>121184.49</v>
      </c>
      <c r="AX32" s="72">
        <f>IFERROR(IF(F30="IMD",0,INDEX('2023 OP UPL Data'!L:L,MATCH(A:A,'2023 OP UPL Data'!B:B,0))),0)</f>
        <v>19443.52</v>
      </c>
      <c r="AY32" s="45">
        <f t="shared" si="25"/>
        <v>140628.01</v>
      </c>
      <c r="AZ32" s="72">
        <v>65250.226748799912</v>
      </c>
      <c r="BA32" s="72">
        <v>41131.28563769273</v>
      </c>
      <c r="BB32" s="72">
        <f t="shared" si="26"/>
        <v>65250.226748799912</v>
      </c>
      <c r="BC32" s="72">
        <f t="shared" si="27"/>
        <v>34708.060656034613</v>
      </c>
      <c r="BD32" s="72">
        <f t="shared" si="28"/>
        <v>99958.287404834526</v>
      </c>
      <c r="BE32" s="94">
        <f t="shared" si="29"/>
        <v>0</v>
      </c>
      <c r="BF32" s="94">
        <f t="shared" si="30"/>
        <v>21687.76563769273</v>
      </c>
      <c r="BG32" s="73">
        <f>IFERROR(INDEX('2023 IP UPL Data'!K:K,MATCH(A32,'2023 IP UPL Data'!B:B,0)),0)</f>
        <v>0</v>
      </c>
    </row>
    <row r="33" spans="1:59">
      <c r="A33" s="124" t="s">
        <v>917</v>
      </c>
      <c r="B33" s="31" t="s">
        <v>917</v>
      </c>
      <c r="C33" s="31" t="s">
        <v>918</v>
      </c>
      <c r="D33" s="180" t="s">
        <v>918</v>
      </c>
      <c r="E33" s="144" t="s">
        <v>3443</v>
      </c>
      <c r="F33" s="44" t="s">
        <v>2718</v>
      </c>
      <c r="G33" s="43" t="s">
        <v>1366</v>
      </c>
      <c r="H33" s="43" t="str">
        <f t="shared" si="2"/>
        <v>Urban Tarrant</v>
      </c>
      <c r="I33" s="45">
        <f>INDEX(FeeCalc!M:M,MATCH(C:C,FeeCalc!F:F,0))</f>
        <v>25556085.651588015</v>
      </c>
      <c r="J33" s="45">
        <f>INDEX(FeeCalc!L:L,MATCH(C:C,FeeCalc!F:F,0))</f>
        <v>27077423.400964871</v>
      </c>
      <c r="K33" s="45">
        <f t="shared" si="3"/>
        <v>52633509.052552886</v>
      </c>
      <c r="L33" s="45">
        <f>IFERROR(IFERROR(INDEX('2023 IP UPL Data'!N:N,MATCH(A:A,'2023 IP UPL Data'!B:B,0)),INDEX('2023 IMD UPL Data'!M:M,MATCH(A:A,'2023 IMD UPL Data'!B:B,0))),0)</f>
        <v>109545734.38413146</v>
      </c>
      <c r="M33" s="45">
        <f>IFERROR((IF(F33="IMD",0,INDEX('2023 OP UPL Data'!M:M,MATCH(A:A,'2023 OP UPL Data'!B:B,0)))),0)</f>
        <v>22760052.164741784</v>
      </c>
      <c r="N33" s="45">
        <f t="shared" si="4"/>
        <v>132305786.54887325</v>
      </c>
      <c r="O33" s="45">
        <v>40251128.472043335</v>
      </c>
      <c r="P33" s="45">
        <v>22280870.084441632</v>
      </c>
      <c r="Q33" s="45">
        <f t="shared" si="5"/>
        <v>62531998.556484967</v>
      </c>
      <c r="R33" s="45" t="str">
        <f t="shared" si="6"/>
        <v>Yes</v>
      </c>
      <c r="S33" s="46" t="str">
        <f t="shared" si="7"/>
        <v>Yes</v>
      </c>
      <c r="T33" s="47">
        <f>ROUND(INDEX(Summary!H:H,MATCH(H:H,Summary!A:A,0)),2)</f>
        <v>1.68</v>
      </c>
      <c r="U33" s="47">
        <f>ROUND(INDEX(Summary!I:I,MATCH(H:H,Summary!A:A,0)),2)</f>
        <v>1.42</v>
      </c>
      <c r="V33" s="85">
        <f t="shared" si="8"/>
        <v>42934223.894667864</v>
      </c>
      <c r="W33" s="85">
        <f t="shared" si="9"/>
        <v>38449941.229370117</v>
      </c>
      <c r="X33" s="45">
        <f t="shared" si="10"/>
        <v>81384165.124037981</v>
      </c>
      <c r="Y33" s="45" t="s">
        <v>3223</v>
      </c>
      <c r="Z33" s="45" t="str">
        <f t="shared" si="11"/>
        <v>No</v>
      </c>
      <c r="AA33" s="45" t="str">
        <f t="shared" si="12"/>
        <v>No</v>
      </c>
      <c r="AB33" s="45" t="str">
        <f t="shared" si="13"/>
        <v>No</v>
      </c>
      <c r="AC33" s="86">
        <f t="shared" si="31"/>
        <v>0</v>
      </c>
      <c r="AD33" s="86">
        <f t="shared" si="32"/>
        <v>0</v>
      </c>
      <c r="AE33" s="45">
        <f t="shared" si="33"/>
        <v>0</v>
      </c>
      <c r="AF33" s="45">
        <f t="shared" si="14"/>
        <v>0</v>
      </c>
      <c r="AG33" s="45">
        <f t="shared" si="15"/>
        <v>0</v>
      </c>
      <c r="AH33" s="47">
        <f>IF(Y33="No",0,IFERROR(ROUNDDOWN(INDEX('90% of ACR'!K:K,MATCH(H:H,'90% of ACR'!A:A,0))*IF(I33&gt;0,IF(O33&gt;0,$R$4*MAX(O33-V33,0),0),0)/I33,2),0))</f>
        <v>0</v>
      </c>
      <c r="AI33" s="86">
        <f>IF(Y33="No",0,IFERROR(ROUNDDOWN(INDEX('90% of ACR'!R:R,MATCH(H:H,'90% of ACR'!A:A,0))*IF(J33&gt;0,IF(P33&gt;0,$R$4*MAX(P33-W33,0),0),0)/J33,2),0))</f>
        <v>0</v>
      </c>
      <c r="AJ33" s="45">
        <f t="shared" si="16"/>
        <v>0</v>
      </c>
      <c r="AK33" s="45">
        <f t="shared" si="17"/>
        <v>0</v>
      </c>
      <c r="AL33" s="47">
        <f t="shared" si="18"/>
        <v>1.68</v>
      </c>
      <c r="AM33" s="47">
        <f t="shared" si="19"/>
        <v>1.42</v>
      </c>
      <c r="AN33" s="87">
        <f>IFERROR(INDEX(FeeCalc!P:P,MATCH(C33,FeeCalc!F:F,0)),0)</f>
        <v>81384165.124037981</v>
      </c>
      <c r="AO33" s="87">
        <f>IFERROR(INDEX(FeeCalc!S:S,MATCH(C33,FeeCalc!F:F,0)),0)</f>
        <v>5077806.5868341913</v>
      </c>
      <c r="AP33" s="87">
        <f t="shared" si="20"/>
        <v>86461971.710872173</v>
      </c>
      <c r="AQ33" s="72">
        <f t="shared" si="21"/>
        <v>36688581.380017817</v>
      </c>
      <c r="AR33" s="72">
        <f t="shared" si="22"/>
        <v>18344290.690008909</v>
      </c>
      <c r="AS33" s="72">
        <f t="shared" si="23"/>
        <v>18344290.690008909</v>
      </c>
      <c r="AT33" s="72">
        <f>IFERROR(IFERROR(INDEX('2023 IP UPL Data'!L:L,MATCH(A:A,'2023 IP UPL Data'!B:B,0)),INDEX('2023 IMD UPL Data'!I:I,MATCH(A:A,'2023 IMD UPL Data'!B:B,0))),0)</f>
        <v>24073785.755868547</v>
      </c>
      <c r="AU33" s="72">
        <f>IFERROR(IF(F31="IMD",0,INDEX('2023 OP UPL Data'!J:J,MATCH(A:A,'2023 OP UPL Data'!B:B,0))),0)</f>
        <v>15662304.765258217</v>
      </c>
      <c r="AV33" s="45">
        <f t="shared" si="24"/>
        <v>39736090.521126762</v>
      </c>
      <c r="AW33" s="72">
        <f>IFERROR(IFERROR(INDEX('2023 IP UPL Data'!M:M,MATCH(A:A,'2023 IP UPL Data'!B:B,0)),INDEX('2023 IMD UPL Data'!K:K,MATCH(A:A,'2023 IMD UPL Data'!B:B,0))),0)</f>
        <v>133619520.14</v>
      </c>
      <c r="AX33" s="72">
        <f>IFERROR(IF(F31="IMD",0,INDEX('2023 OP UPL Data'!L:L,MATCH(A:A,'2023 OP UPL Data'!B:B,0))),0)</f>
        <v>38422356.93</v>
      </c>
      <c r="AY33" s="45">
        <f t="shared" si="25"/>
        <v>172041877.06999999</v>
      </c>
      <c r="AZ33" s="72">
        <v>64324914.227911882</v>
      </c>
      <c r="BA33" s="72">
        <v>37943174.849699847</v>
      </c>
      <c r="BB33" s="72">
        <f t="shared" si="26"/>
        <v>21390690.333244018</v>
      </c>
      <c r="BC33" s="72">
        <f t="shared" si="27"/>
        <v>0</v>
      </c>
      <c r="BD33" s="72">
        <f t="shared" si="28"/>
        <v>20883923.953573748</v>
      </c>
      <c r="BE33" s="94">
        <f t="shared" si="29"/>
        <v>0</v>
      </c>
      <c r="BF33" s="94">
        <f t="shared" si="30"/>
        <v>0</v>
      </c>
      <c r="BG33" s="73">
        <f>IFERROR(INDEX('2023 IP UPL Data'!K:K,MATCH(A33,'2023 IP UPL Data'!B:B,0)),0)</f>
        <v>0</v>
      </c>
    </row>
    <row r="34" spans="1:59">
      <c r="A34" s="124" t="s">
        <v>1439</v>
      </c>
      <c r="B34" s="31" t="s">
        <v>1439</v>
      </c>
      <c r="C34" s="31" t="s">
        <v>1440</v>
      </c>
      <c r="D34" s="180" t="s">
        <v>1440</v>
      </c>
      <c r="E34" s="144" t="s">
        <v>3121</v>
      </c>
      <c r="F34" s="44" t="s">
        <v>2718</v>
      </c>
      <c r="G34" s="43" t="s">
        <v>223</v>
      </c>
      <c r="H34" s="43" t="str">
        <f t="shared" si="2"/>
        <v>Urban Dallas</v>
      </c>
      <c r="I34" s="45">
        <f>INDEX(FeeCalc!M:M,MATCH(C:C,FeeCalc!F:F,0))</f>
        <v>682548.80837777082</v>
      </c>
      <c r="J34" s="45">
        <f>INDEX(FeeCalc!L:L,MATCH(C:C,FeeCalc!F:F,0))</f>
        <v>0</v>
      </c>
      <c r="K34" s="45">
        <f t="shared" si="3"/>
        <v>682548.80837777082</v>
      </c>
      <c r="L34" s="45">
        <f>IFERROR(IFERROR(INDEX('2023 IP UPL Data'!N:N,MATCH(A:A,'2023 IP UPL Data'!B:B,0)),INDEX('2023 IMD UPL Data'!M:M,MATCH(A:A,'2023 IMD UPL Data'!B:B,0))),0)</f>
        <v>1118967.31</v>
      </c>
      <c r="M34" s="45">
        <f>IFERROR((IF(F34="IMD",0,INDEX('2023 OP UPL Data'!M:M,MATCH(A:A,'2023 OP UPL Data'!B:B,0)))),0)</f>
        <v>0</v>
      </c>
      <c r="N34" s="45">
        <f t="shared" si="4"/>
        <v>1118967.31</v>
      </c>
      <c r="O34" s="45">
        <v>285668.19354060013</v>
      </c>
      <c r="P34" s="45">
        <v>0</v>
      </c>
      <c r="Q34" s="45">
        <f t="shared" si="5"/>
        <v>285668.19354060013</v>
      </c>
      <c r="R34" s="45" t="str">
        <f t="shared" si="6"/>
        <v>Yes</v>
      </c>
      <c r="S34" s="46" t="str">
        <f t="shared" si="7"/>
        <v>No</v>
      </c>
      <c r="T34" s="47">
        <f>ROUND(INDEX(Summary!H:H,MATCH(H:H,Summary!A:A,0)),2)</f>
        <v>1.2</v>
      </c>
      <c r="U34" s="47">
        <f>ROUND(INDEX(Summary!I:I,MATCH(H:H,Summary!A:A,0)),2)</f>
        <v>1.08</v>
      </c>
      <c r="V34" s="85">
        <f t="shared" si="8"/>
        <v>819058.57005332492</v>
      </c>
      <c r="W34" s="85">
        <f t="shared" si="9"/>
        <v>0</v>
      </c>
      <c r="X34" s="45">
        <f t="shared" si="10"/>
        <v>819058.57005332492</v>
      </c>
      <c r="Y34" s="45" t="s">
        <v>3223</v>
      </c>
      <c r="Z34" s="45" t="str">
        <f t="shared" si="11"/>
        <v>No</v>
      </c>
      <c r="AA34" s="45" t="str">
        <f t="shared" si="12"/>
        <v>No</v>
      </c>
      <c r="AB34" s="45" t="str">
        <f t="shared" si="13"/>
        <v>No</v>
      </c>
      <c r="AC34" s="86">
        <f t="shared" si="31"/>
        <v>0</v>
      </c>
      <c r="AD34" s="86">
        <f t="shared" si="32"/>
        <v>0</v>
      </c>
      <c r="AE34" s="45">
        <f t="shared" si="33"/>
        <v>0</v>
      </c>
      <c r="AF34" s="45">
        <f t="shared" si="14"/>
        <v>0</v>
      </c>
      <c r="AG34" s="45">
        <f t="shared" si="15"/>
        <v>0</v>
      </c>
      <c r="AH34" s="47">
        <f>IF(Y34="No",0,IFERROR(ROUNDDOWN(INDEX('90% of ACR'!K:K,MATCH(H:H,'90% of ACR'!A:A,0))*IF(I34&gt;0,IF(O34&gt;0,$R$4*MAX(O34-V34,0),0),0)/I34,2),0))</f>
        <v>0</v>
      </c>
      <c r="AI34" s="86">
        <f>IF(Y34="No",0,IFERROR(ROUNDDOWN(INDEX('90% of ACR'!R:R,MATCH(H:H,'90% of ACR'!A:A,0))*IF(J34&gt;0,IF(P34&gt;0,$R$4*MAX(P34-W34,0),0),0)/J34,2),0))</f>
        <v>0</v>
      </c>
      <c r="AJ34" s="45">
        <f t="shared" si="16"/>
        <v>0</v>
      </c>
      <c r="AK34" s="45">
        <f t="shared" si="17"/>
        <v>0</v>
      </c>
      <c r="AL34" s="47">
        <f t="shared" si="18"/>
        <v>1.2</v>
      </c>
      <c r="AM34" s="47">
        <f t="shared" si="19"/>
        <v>1.08</v>
      </c>
      <c r="AN34" s="87">
        <f>IFERROR(INDEX(FeeCalc!P:P,MATCH(C34,FeeCalc!F:F,0)),0)</f>
        <v>819058.57005332492</v>
      </c>
      <c r="AO34" s="87">
        <f>IFERROR(INDEX(FeeCalc!S:S,MATCH(C34,FeeCalc!F:F,0)),0)</f>
        <v>52168.110525229691</v>
      </c>
      <c r="AP34" s="87">
        <f t="shared" si="20"/>
        <v>871226.68057855463</v>
      </c>
      <c r="AQ34" s="72">
        <f t="shared" si="21"/>
        <v>369689.35982325929</v>
      </c>
      <c r="AR34" s="72">
        <f t="shared" si="22"/>
        <v>184844.67991162965</v>
      </c>
      <c r="AS34" s="72">
        <f t="shared" si="23"/>
        <v>184844.67991162965</v>
      </c>
      <c r="AT34" s="72">
        <f>IFERROR(IFERROR(INDEX('2023 IP UPL Data'!L:L,MATCH(A:A,'2023 IP UPL Data'!B:B,0)),INDEX('2023 IMD UPL Data'!I:I,MATCH(A:A,'2023 IMD UPL Data'!B:B,0))),0)</f>
        <v>905250</v>
      </c>
      <c r="AU34" s="72">
        <f>IFERROR(IF(F32="IMD",0,INDEX('2023 OP UPL Data'!J:J,MATCH(A:A,'2023 OP UPL Data'!B:B,0))),0)</f>
        <v>0</v>
      </c>
      <c r="AV34" s="45">
        <f t="shared" si="24"/>
        <v>905250</v>
      </c>
      <c r="AW34" s="72">
        <f>IFERROR(IFERROR(INDEX('2023 IP UPL Data'!M:M,MATCH(A:A,'2023 IP UPL Data'!B:B,0)),INDEX('2023 IMD UPL Data'!K:K,MATCH(A:A,'2023 IMD UPL Data'!B:B,0))),0)</f>
        <v>2024217.31</v>
      </c>
      <c r="AX34" s="72">
        <f>IFERROR(IF(F32="IMD",0,INDEX('2023 OP UPL Data'!L:L,MATCH(A:A,'2023 OP UPL Data'!B:B,0))),0)</f>
        <v>0</v>
      </c>
      <c r="AY34" s="45">
        <f t="shared" si="25"/>
        <v>2024217.31</v>
      </c>
      <c r="AZ34" s="72">
        <v>1190918.1935406001</v>
      </c>
      <c r="BA34" s="72">
        <v>0</v>
      </c>
      <c r="BB34" s="72">
        <f t="shared" si="26"/>
        <v>371859.62348727521</v>
      </c>
      <c r="BC34" s="72">
        <f t="shared" si="27"/>
        <v>0</v>
      </c>
      <c r="BD34" s="72">
        <f t="shared" si="28"/>
        <v>371859.62348727521</v>
      </c>
      <c r="BE34" s="94">
        <f t="shared" si="29"/>
        <v>0</v>
      </c>
      <c r="BF34" s="94">
        <f t="shared" si="30"/>
        <v>0</v>
      </c>
      <c r="BG34" s="73">
        <f>IFERROR(INDEX('2023 IP UPL Data'!K:K,MATCH(A34,'2023 IP UPL Data'!B:B,0)),0)</f>
        <v>0</v>
      </c>
    </row>
    <row r="35" spans="1:59">
      <c r="A35" s="124" t="s">
        <v>132</v>
      </c>
      <c r="B35" s="31" t="s">
        <v>132</v>
      </c>
      <c r="C35" s="31" t="s">
        <v>133</v>
      </c>
      <c r="D35" s="180" t="s">
        <v>133</v>
      </c>
      <c r="E35" s="144" t="s">
        <v>3316</v>
      </c>
      <c r="F35" s="44" t="s">
        <v>2718</v>
      </c>
      <c r="G35" s="43" t="s">
        <v>487</v>
      </c>
      <c r="H35" s="43" t="str">
        <f t="shared" si="2"/>
        <v>Urban Bexar</v>
      </c>
      <c r="I35" s="45">
        <f>INDEX(FeeCalc!M:M,MATCH(C:C,FeeCalc!F:F,0))</f>
        <v>300162.25352997542</v>
      </c>
      <c r="J35" s="45">
        <f>INDEX(FeeCalc!L:L,MATCH(C:C,FeeCalc!F:F,0))</f>
        <v>8091240.7359692194</v>
      </c>
      <c r="K35" s="45">
        <f t="shared" si="3"/>
        <v>8391402.9894991945</v>
      </c>
      <c r="L35" s="45">
        <f>IFERROR(IFERROR(INDEX('2023 IP UPL Data'!N:N,MATCH(A:A,'2023 IP UPL Data'!B:B,0)),INDEX('2023 IMD UPL Data'!M:M,MATCH(A:A,'2023 IMD UPL Data'!B:B,0))),0)</f>
        <v>310517.02576687117</v>
      </c>
      <c r="M35" s="45">
        <f>IFERROR((IF(F35="IMD",0,INDEX('2023 OP UPL Data'!M:M,MATCH(A:A,'2023 OP UPL Data'!B:B,0)))),0)</f>
        <v>3269872.022515337</v>
      </c>
      <c r="N35" s="45">
        <f t="shared" si="4"/>
        <v>3580389.0482822079</v>
      </c>
      <c r="O35" s="45">
        <v>661956.56497265107</v>
      </c>
      <c r="P35" s="45">
        <v>11832840.461764611</v>
      </c>
      <c r="Q35" s="45">
        <f t="shared" si="5"/>
        <v>12494797.026737262</v>
      </c>
      <c r="R35" s="45" t="str">
        <f t="shared" si="6"/>
        <v>Yes</v>
      </c>
      <c r="S35" s="46" t="str">
        <f t="shared" si="7"/>
        <v>Yes</v>
      </c>
      <c r="T35" s="47">
        <f>ROUND(INDEX(Summary!H:H,MATCH(H:H,Summary!A:A,0)),2)</f>
        <v>0.71</v>
      </c>
      <c r="U35" s="47">
        <f>ROUND(INDEX(Summary!I:I,MATCH(H:H,Summary!A:A,0)),2)</f>
        <v>0.67</v>
      </c>
      <c r="V35" s="85">
        <f t="shared" si="8"/>
        <v>213115.20000628254</v>
      </c>
      <c r="W35" s="85">
        <f t="shared" si="9"/>
        <v>5421131.2930993773</v>
      </c>
      <c r="X35" s="45">
        <f t="shared" si="10"/>
        <v>5634246.4931056602</v>
      </c>
      <c r="Y35" s="45" t="s">
        <v>3223</v>
      </c>
      <c r="Z35" s="45" t="str">
        <f t="shared" si="11"/>
        <v>Yes</v>
      </c>
      <c r="AA35" s="45" t="str">
        <f t="shared" si="12"/>
        <v>Yes</v>
      </c>
      <c r="AB35" s="45" t="str">
        <f t="shared" si="13"/>
        <v>Yes</v>
      </c>
      <c r="AC35" s="86">
        <f t="shared" si="31"/>
        <v>1.04</v>
      </c>
      <c r="AD35" s="86">
        <f t="shared" si="32"/>
        <v>0.55000000000000004</v>
      </c>
      <c r="AE35" s="45">
        <f t="shared" si="33"/>
        <v>312168.74367117445</v>
      </c>
      <c r="AF35" s="45">
        <f t="shared" si="14"/>
        <v>4450182.404783071</v>
      </c>
      <c r="AG35" s="45">
        <f t="shared" si="15"/>
        <v>4762351.1484542452</v>
      </c>
      <c r="AH35" s="47">
        <f>IF(Y35="No",0,IFERROR(ROUNDDOWN(INDEX('90% of ACR'!K:K,MATCH(H:H,'90% of ACR'!A:A,0))*IF(I35&gt;0,IF(O35&gt;0,$R$4*MAX(O35-V35,0),0),0)/I35,2),0))</f>
        <v>0.77</v>
      </c>
      <c r="AI35" s="86">
        <f>IF(Y35="No",0,IFERROR(ROUNDDOWN(INDEX('90% of ACR'!R:R,MATCH(H:H,'90% of ACR'!A:A,0))*IF(J35&gt;0,IF(P35&gt;0,$R$4*MAX(P35-W35,0),0),0)/J35,2),0))</f>
        <v>0.35</v>
      </c>
      <c r="AJ35" s="45">
        <f t="shared" si="16"/>
        <v>231124.93521808108</v>
      </c>
      <c r="AK35" s="45">
        <f t="shared" si="17"/>
        <v>2831934.2575892266</v>
      </c>
      <c r="AL35" s="47">
        <f t="shared" si="18"/>
        <v>1.48</v>
      </c>
      <c r="AM35" s="47">
        <f t="shared" si="19"/>
        <v>1.02</v>
      </c>
      <c r="AN35" s="87">
        <f>IFERROR(INDEX(FeeCalc!P:P,MATCH(C35,FeeCalc!F:F,0)),0)</f>
        <v>8697305.6859129667</v>
      </c>
      <c r="AO35" s="87">
        <f>IFERROR(INDEX(FeeCalc!S:S,MATCH(C35,FeeCalc!F:F,0)),0)</f>
        <v>536099.29729714105</v>
      </c>
      <c r="AP35" s="87">
        <f t="shared" si="20"/>
        <v>9233404.9832101073</v>
      </c>
      <c r="AQ35" s="72">
        <f t="shared" si="21"/>
        <v>3918029.203335512</v>
      </c>
      <c r="AR35" s="72">
        <f t="shared" si="22"/>
        <v>1959014.601667756</v>
      </c>
      <c r="AS35" s="72">
        <f t="shared" si="23"/>
        <v>1959014.601667756</v>
      </c>
      <c r="AT35" s="72">
        <f>IFERROR(IFERROR(INDEX('2023 IP UPL Data'!L:L,MATCH(A:A,'2023 IP UPL Data'!B:B,0)),INDEX('2023 IMD UPL Data'!I:I,MATCH(A:A,'2023 IMD UPL Data'!B:B,0))),0)</f>
        <v>250408.37423312885</v>
      </c>
      <c r="AU35" s="72">
        <f>IFERROR(IF(F33="IMD",0,INDEX('2023 OP UPL Data'!J:J,MATCH(A:A,'2023 OP UPL Data'!B:B,0))),0)</f>
        <v>3388174.0674846629</v>
      </c>
      <c r="AV35" s="45">
        <f t="shared" si="24"/>
        <v>3638582.4417177918</v>
      </c>
      <c r="AW35" s="72">
        <f>IFERROR(IFERROR(INDEX('2023 IP UPL Data'!M:M,MATCH(A:A,'2023 IP UPL Data'!B:B,0)),INDEX('2023 IMD UPL Data'!K:K,MATCH(A:A,'2023 IMD UPL Data'!B:B,0))),0)</f>
        <v>560925.4</v>
      </c>
      <c r="AX35" s="72">
        <f>IFERROR(IF(F33="IMD",0,INDEX('2023 OP UPL Data'!L:L,MATCH(A:A,'2023 OP UPL Data'!B:B,0))),0)</f>
        <v>6658046.0899999999</v>
      </c>
      <c r="AY35" s="45">
        <f t="shared" si="25"/>
        <v>7218971.4900000002</v>
      </c>
      <c r="AZ35" s="72">
        <v>912364.93920577993</v>
      </c>
      <c r="BA35" s="72">
        <v>15221014.529249275</v>
      </c>
      <c r="BB35" s="72">
        <f t="shared" si="26"/>
        <v>699249.73919949739</v>
      </c>
      <c r="BC35" s="72">
        <f t="shared" si="27"/>
        <v>9799883.2361498978</v>
      </c>
      <c r="BD35" s="72">
        <f t="shared" si="28"/>
        <v>10499132.975349396</v>
      </c>
      <c r="BE35" s="94">
        <f t="shared" si="29"/>
        <v>351439.5392057799</v>
      </c>
      <c r="BF35" s="94">
        <f t="shared" si="30"/>
        <v>8562968.4392492753</v>
      </c>
      <c r="BG35" s="73">
        <f>IFERROR(INDEX('2023 IP UPL Data'!K:K,MATCH(A35,'2023 IP UPL Data'!B:B,0)),0)</f>
        <v>0</v>
      </c>
    </row>
    <row r="36" spans="1:59">
      <c r="A36" s="124" t="s">
        <v>665</v>
      </c>
      <c r="B36" s="31" t="s">
        <v>665</v>
      </c>
      <c r="C36" s="31" t="s">
        <v>666</v>
      </c>
      <c r="D36" s="180" t="s">
        <v>666</v>
      </c>
      <c r="E36" s="144" t="s">
        <v>3372</v>
      </c>
      <c r="F36" s="44" t="s">
        <v>2768</v>
      </c>
      <c r="G36" s="43" t="s">
        <v>227</v>
      </c>
      <c r="H36" s="43" t="str">
        <f t="shared" si="2"/>
        <v>Rural MRSA West</v>
      </c>
      <c r="I36" s="45">
        <f>INDEX(FeeCalc!M:M,MATCH(C:C,FeeCalc!F:F,0))</f>
        <v>287085.93114584143</v>
      </c>
      <c r="J36" s="45">
        <f>INDEX(FeeCalc!L:L,MATCH(C:C,FeeCalc!F:F,0))</f>
        <v>760052.33711877873</v>
      </c>
      <c r="K36" s="45">
        <f t="shared" si="3"/>
        <v>1047138.2682646201</v>
      </c>
      <c r="L36" s="45">
        <f>IFERROR(IFERROR(INDEX('2023 IP UPL Data'!N:N,MATCH(A:A,'2023 IP UPL Data'!B:B,0)),INDEX('2023 IMD UPL Data'!M:M,MATCH(A:A,'2023 IMD UPL Data'!B:B,0))),0)</f>
        <v>-27339.634202726476</v>
      </c>
      <c r="M36" s="45">
        <f>IFERROR((IF(F36="IMD",0,INDEX('2023 OP UPL Data'!M:M,MATCH(A:A,'2023 OP UPL Data'!B:B,0)))),0)</f>
        <v>-81036.261499999964</v>
      </c>
      <c r="N36" s="45">
        <f t="shared" si="4"/>
        <v>-108375.89570272644</v>
      </c>
      <c r="O36" s="45">
        <v>-26762.24086091487</v>
      </c>
      <c r="P36" s="45">
        <v>359301.50596937491</v>
      </c>
      <c r="Q36" s="45">
        <f t="shared" si="5"/>
        <v>332539.26510846004</v>
      </c>
      <c r="R36" s="45" t="str">
        <f t="shared" si="6"/>
        <v>No</v>
      </c>
      <c r="S36" s="46" t="str">
        <f t="shared" si="7"/>
        <v>Yes</v>
      </c>
      <c r="T36" s="47">
        <f>ROUND(INDEX(Summary!H:H,MATCH(H:H,Summary!A:A,0)),2)</f>
        <v>0</v>
      </c>
      <c r="U36" s="47">
        <f>ROUND(INDEX(Summary!I:I,MATCH(H:H,Summary!A:A,0)),2)</f>
        <v>0.28999999999999998</v>
      </c>
      <c r="V36" s="85">
        <f t="shared" si="8"/>
        <v>0</v>
      </c>
      <c r="W36" s="85">
        <f t="shared" si="9"/>
        <v>220415.17776444581</v>
      </c>
      <c r="X36" s="45">
        <f t="shared" si="10"/>
        <v>220415.17776444581</v>
      </c>
      <c r="Y36" s="45" t="s">
        <v>3223</v>
      </c>
      <c r="Z36" s="45" t="str">
        <f t="shared" si="11"/>
        <v>No</v>
      </c>
      <c r="AA36" s="45" t="str">
        <f t="shared" si="12"/>
        <v>Yes</v>
      </c>
      <c r="AB36" s="45" t="str">
        <f t="shared" si="13"/>
        <v>Yes</v>
      </c>
      <c r="AC36" s="86">
        <f t="shared" si="31"/>
        <v>0</v>
      </c>
      <c r="AD36" s="86">
        <f t="shared" si="32"/>
        <v>0.13</v>
      </c>
      <c r="AE36" s="45">
        <f t="shared" si="33"/>
        <v>0</v>
      </c>
      <c r="AF36" s="45">
        <f t="shared" si="14"/>
        <v>98806.803825441239</v>
      </c>
      <c r="AG36" s="45">
        <f t="shared" si="15"/>
        <v>98806.803825441239</v>
      </c>
      <c r="AH36" s="47">
        <f>IF(Y36="No",0,IFERROR(ROUNDDOWN(INDEX('90% of ACR'!K:K,MATCH(H:H,'90% of ACR'!A:A,0))*IF(I36&gt;0,IF(O36&gt;0,$R$4*MAX(O36-V36,0),0),0)/I36,2),0))</f>
        <v>0</v>
      </c>
      <c r="AI36" s="86">
        <f>IF(Y36="No",0,IFERROR(ROUNDDOWN(INDEX('90% of ACR'!R:R,MATCH(H:H,'90% of ACR'!A:A,0))*IF(J36&gt;0,IF(P36&gt;0,$R$4*MAX(P36-W36,0),0),0)/J36,2),0))</f>
        <v>0.12</v>
      </c>
      <c r="AJ36" s="45">
        <f t="shared" si="16"/>
        <v>0</v>
      </c>
      <c r="AK36" s="45">
        <f t="shared" si="17"/>
        <v>91206.280454253443</v>
      </c>
      <c r="AL36" s="47">
        <f t="shared" si="18"/>
        <v>0</v>
      </c>
      <c r="AM36" s="47">
        <f t="shared" si="19"/>
        <v>0.41</v>
      </c>
      <c r="AN36" s="87">
        <f>IFERROR(INDEX(FeeCalc!P:P,MATCH(C36,FeeCalc!F:F,0)),0)</f>
        <v>311621.45821869926</v>
      </c>
      <c r="AO36" s="87">
        <f>IFERROR(INDEX(FeeCalc!S:S,MATCH(C36,FeeCalc!F:F,0)),0)</f>
        <v>19145.006487827861</v>
      </c>
      <c r="AP36" s="87">
        <f t="shared" si="20"/>
        <v>330766.46470652713</v>
      </c>
      <c r="AQ36" s="72">
        <f t="shared" si="21"/>
        <v>140354.79550185008</v>
      </c>
      <c r="AR36" s="72">
        <f t="shared" si="22"/>
        <v>70177.39775092504</v>
      </c>
      <c r="AS36" s="72">
        <f t="shared" si="23"/>
        <v>70177.39775092504</v>
      </c>
      <c r="AT36" s="72">
        <f>IFERROR(IFERROR(INDEX('2023 IP UPL Data'!L:L,MATCH(A:A,'2023 IP UPL Data'!B:B,0)),INDEX('2023 IMD UPL Data'!I:I,MATCH(A:A,'2023 IMD UPL Data'!B:B,0))),0)</f>
        <v>102139.75420272647</v>
      </c>
      <c r="AU36" s="72">
        <f>IFERROR(IF(F34="IMD",0,INDEX('2023 OP UPL Data'!J:J,MATCH(A:A,'2023 OP UPL Data'!B:B,0))),0)</f>
        <v>294081.56149999995</v>
      </c>
      <c r="AV36" s="45">
        <f t="shared" si="24"/>
        <v>396221.31570272642</v>
      </c>
      <c r="AW36" s="72">
        <f>IFERROR(IFERROR(INDEX('2023 IP UPL Data'!M:M,MATCH(A:A,'2023 IP UPL Data'!B:B,0)),INDEX('2023 IMD UPL Data'!K:K,MATCH(A:A,'2023 IMD UPL Data'!B:B,0))),0)</f>
        <v>74800.12</v>
      </c>
      <c r="AX36" s="72">
        <f>IFERROR(IF(F34="IMD",0,INDEX('2023 OP UPL Data'!L:L,MATCH(A:A,'2023 OP UPL Data'!B:B,0))),0)</f>
        <v>213045.3</v>
      </c>
      <c r="AY36" s="45">
        <f t="shared" si="25"/>
        <v>287845.42</v>
      </c>
      <c r="AZ36" s="72">
        <v>75377.513341811602</v>
      </c>
      <c r="BA36" s="72">
        <v>653383.06746937486</v>
      </c>
      <c r="BB36" s="72">
        <f t="shared" si="26"/>
        <v>75377.513341811602</v>
      </c>
      <c r="BC36" s="72">
        <f t="shared" si="27"/>
        <v>432967.88970492908</v>
      </c>
      <c r="BD36" s="72">
        <f t="shared" si="28"/>
        <v>508345.40304674068</v>
      </c>
      <c r="BE36" s="94">
        <f t="shared" si="29"/>
        <v>577.39334181160666</v>
      </c>
      <c r="BF36" s="94">
        <f t="shared" si="30"/>
        <v>440337.76746937487</v>
      </c>
      <c r="BG36" s="73">
        <f>IFERROR(INDEX('2023 IP UPL Data'!K:K,MATCH(A36,'2023 IP UPL Data'!B:B,0)),0)</f>
        <v>0</v>
      </c>
    </row>
    <row r="37" spans="1:59">
      <c r="A37" s="124" t="s">
        <v>120</v>
      </c>
      <c r="B37" s="31" t="s">
        <v>120</v>
      </c>
      <c r="C37" s="31" t="s">
        <v>121</v>
      </c>
      <c r="D37" s="179" t="s">
        <v>121</v>
      </c>
      <c r="E37" s="144" t="s">
        <v>3444</v>
      </c>
      <c r="F37" s="44" t="s">
        <v>2718</v>
      </c>
      <c r="G37" s="43" t="s">
        <v>1366</v>
      </c>
      <c r="H37" s="43" t="str">
        <f t="shared" si="2"/>
        <v>Urban Tarrant</v>
      </c>
      <c r="I37" s="45">
        <f>INDEX(FeeCalc!M:M,MATCH(C:C,FeeCalc!F:F,0))</f>
        <v>2729.4305831822121</v>
      </c>
      <c r="J37" s="45">
        <f>INDEX(FeeCalc!L:L,MATCH(C:C,FeeCalc!F:F,0))</f>
        <v>269999.68403719523</v>
      </c>
      <c r="K37" s="45">
        <f t="shared" si="3"/>
        <v>272729.11462037743</v>
      </c>
      <c r="L37" s="45">
        <f>IFERROR(IFERROR(INDEX('2023 IP UPL Data'!N:N,MATCH(A:A,'2023 IP UPL Data'!B:B,0)),INDEX('2023 IMD UPL Data'!M:M,MATCH(A:A,'2023 IMD UPL Data'!B:B,0))),0)</f>
        <v>32422.286249999997</v>
      </c>
      <c r="M37" s="45">
        <f>IFERROR((IF(F37="IMD",0,INDEX('2023 OP UPL Data'!M:M,MATCH(A:A,'2023 OP UPL Data'!B:B,0)))),0)</f>
        <v>1136016.4662500001</v>
      </c>
      <c r="N37" s="45">
        <f t="shared" si="4"/>
        <v>1168438.7524999999</v>
      </c>
      <c r="O37" s="45">
        <v>57318.240928691484</v>
      </c>
      <c r="P37" s="45">
        <v>2928370.5601999694</v>
      </c>
      <c r="Q37" s="45">
        <f t="shared" si="5"/>
        <v>2985688.8011286608</v>
      </c>
      <c r="R37" s="45" t="str">
        <f t="shared" si="6"/>
        <v>Yes</v>
      </c>
      <c r="S37" s="46" t="str">
        <f t="shared" si="7"/>
        <v>Yes</v>
      </c>
      <c r="T37" s="47">
        <f>ROUND(INDEX(Summary!H:H,MATCH(H:H,Summary!A:A,0)),2)</f>
        <v>1.68</v>
      </c>
      <c r="U37" s="47">
        <f>ROUND(INDEX(Summary!I:I,MATCH(H:H,Summary!A:A,0)),2)</f>
        <v>1.42</v>
      </c>
      <c r="V37" s="85">
        <f t="shared" si="8"/>
        <v>4585.4433797461161</v>
      </c>
      <c r="W37" s="85">
        <f t="shared" si="9"/>
        <v>383399.55133281718</v>
      </c>
      <c r="X37" s="45">
        <f t="shared" si="10"/>
        <v>387984.99471256329</v>
      </c>
      <c r="Y37" s="45" t="s">
        <v>3223</v>
      </c>
      <c r="Z37" s="45" t="str">
        <f t="shared" si="11"/>
        <v>Yes</v>
      </c>
      <c r="AA37" s="45" t="str">
        <f t="shared" si="12"/>
        <v>Yes</v>
      </c>
      <c r="AB37" s="45" t="str">
        <f t="shared" si="13"/>
        <v>Yes</v>
      </c>
      <c r="AC37" s="86">
        <f t="shared" si="31"/>
        <v>13.46</v>
      </c>
      <c r="AD37" s="86">
        <f t="shared" si="32"/>
        <v>6.57</v>
      </c>
      <c r="AE37" s="45">
        <f t="shared" si="33"/>
        <v>36738.135649632575</v>
      </c>
      <c r="AF37" s="45">
        <f t="shared" si="14"/>
        <v>1773897.9241243727</v>
      </c>
      <c r="AG37" s="45">
        <f t="shared" si="15"/>
        <v>1810636.0597740053</v>
      </c>
      <c r="AH37" s="47">
        <f>IF(Y37="No",0,IFERROR(ROUNDDOWN(INDEX('90% of ACR'!K:K,MATCH(H:H,'90% of ACR'!A:A,0))*IF(I37&gt;0,IF(O37&gt;0,$R$4*MAX(O37-V37,0),0),0)/I37,2),0))</f>
        <v>13.45</v>
      </c>
      <c r="AI37" s="86">
        <f>IF(Y37="No",0,IFERROR(ROUNDDOWN(INDEX('90% of ACR'!R:R,MATCH(H:H,'90% of ACR'!A:A,0))*IF(J37&gt;0,IF(P37&gt;0,$R$4*MAX(P37-W37,0),0),0)/J37,2),0))</f>
        <v>5.35</v>
      </c>
      <c r="AJ37" s="45">
        <f t="shared" si="16"/>
        <v>36710.841343800748</v>
      </c>
      <c r="AK37" s="45">
        <f t="shared" si="17"/>
        <v>1444498.3095989944</v>
      </c>
      <c r="AL37" s="47">
        <f t="shared" si="18"/>
        <v>15.129999999999999</v>
      </c>
      <c r="AM37" s="47">
        <f t="shared" si="19"/>
        <v>6.77</v>
      </c>
      <c r="AN37" s="87">
        <f>IFERROR(INDEX(FeeCalc!P:P,MATCH(C37,FeeCalc!F:F,0)),0)</f>
        <v>1869194.1456553584</v>
      </c>
      <c r="AO37" s="87">
        <f>IFERROR(INDEX(FeeCalc!S:S,MATCH(C37,FeeCalc!F:F,0)),0)</f>
        <v>114035.71710894759</v>
      </c>
      <c r="AP37" s="87">
        <f t="shared" si="20"/>
        <v>1983229.8627643061</v>
      </c>
      <c r="AQ37" s="72">
        <f t="shared" si="21"/>
        <v>841547.89412650373</v>
      </c>
      <c r="AR37" s="72">
        <f t="shared" si="22"/>
        <v>420773.94706325186</v>
      </c>
      <c r="AS37" s="72">
        <f t="shared" si="23"/>
        <v>420773.94706325186</v>
      </c>
      <c r="AT37" s="72">
        <f>IFERROR(IFERROR(INDEX('2023 IP UPL Data'!L:L,MATCH(A:A,'2023 IP UPL Data'!B:B,0)),INDEX('2023 IMD UPL Data'!I:I,MATCH(A:A,'2023 IMD UPL Data'!B:B,0))),0)</f>
        <v>38673.693749999999</v>
      </c>
      <c r="AU37" s="72">
        <f>IFERROR(IF(F35="IMD",0,INDEX('2023 OP UPL Data'!J:J,MATCH(A:A,'2023 OP UPL Data'!B:B,0))),0)</f>
        <v>308368.89375000005</v>
      </c>
      <c r="AV37" s="45">
        <f t="shared" si="24"/>
        <v>347042.58750000002</v>
      </c>
      <c r="AW37" s="72">
        <f>IFERROR(IFERROR(INDEX('2023 IP UPL Data'!M:M,MATCH(A:A,'2023 IP UPL Data'!B:B,0)),INDEX('2023 IMD UPL Data'!K:K,MATCH(A:A,'2023 IMD UPL Data'!B:B,0))),0)</f>
        <v>71095.98</v>
      </c>
      <c r="AX37" s="72">
        <f>IFERROR(IF(F35="IMD",0,INDEX('2023 OP UPL Data'!L:L,MATCH(A:A,'2023 OP UPL Data'!B:B,0))),0)</f>
        <v>1444385.36</v>
      </c>
      <c r="AY37" s="45">
        <f t="shared" si="25"/>
        <v>1515481.34</v>
      </c>
      <c r="AZ37" s="72">
        <v>95991.934678691483</v>
      </c>
      <c r="BA37" s="72">
        <v>3236739.4539499697</v>
      </c>
      <c r="BB37" s="72">
        <f t="shared" si="26"/>
        <v>91406.491298945373</v>
      </c>
      <c r="BC37" s="72">
        <f t="shared" si="27"/>
        <v>2853339.9026171528</v>
      </c>
      <c r="BD37" s="72">
        <f t="shared" si="28"/>
        <v>2944746.3939160979</v>
      </c>
      <c r="BE37" s="94">
        <f t="shared" si="29"/>
        <v>24895.954678691487</v>
      </c>
      <c r="BF37" s="94">
        <f t="shared" si="30"/>
        <v>1792354.0939499696</v>
      </c>
      <c r="BG37" s="73">
        <f>IFERROR(INDEX('2023 IP UPL Data'!K:K,MATCH(A37,'2023 IP UPL Data'!B:B,0)),0)</f>
        <v>0</v>
      </c>
    </row>
    <row r="38" spans="1:59">
      <c r="A38" s="124" t="s">
        <v>165</v>
      </c>
      <c r="B38" s="31" t="s">
        <v>165</v>
      </c>
      <c r="C38" s="31" t="s">
        <v>166</v>
      </c>
      <c r="D38" s="180" t="s">
        <v>166</v>
      </c>
      <c r="E38" s="144" t="s">
        <v>3445</v>
      </c>
      <c r="F38" s="44" t="s">
        <v>2718</v>
      </c>
      <c r="G38" s="43" t="s">
        <v>1189</v>
      </c>
      <c r="H38" s="43" t="str">
        <f t="shared" si="2"/>
        <v>Urban El Paso</v>
      </c>
      <c r="I38" s="45">
        <f>INDEX(FeeCalc!M:M,MATCH(C:C,FeeCalc!F:F,0))</f>
        <v>150193.83901402861</v>
      </c>
      <c r="J38" s="45">
        <f>INDEX(FeeCalc!L:L,MATCH(C:C,FeeCalc!F:F,0))</f>
        <v>2550102.3399221743</v>
      </c>
      <c r="K38" s="45">
        <f t="shared" si="3"/>
        <v>2700296.178936203</v>
      </c>
      <c r="L38" s="45">
        <f>IFERROR(IFERROR(INDEX('2023 IP UPL Data'!N:N,MATCH(A:A,'2023 IP UPL Data'!B:B,0)),INDEX('2023 IMD UPL Data'!M:M,MATCH(A:A,'2023 IMD UPL Data'!B:B,0))),0)</f>
        <v>204471.81157232705</v>
      </c>
      <c r="M38" s="45">
        <f>IFERROR((IF(F38="IMD",0,INDEX('2023 OP UPL Data'!M:M,MATCH(A:A,'2023 OP UPL Data'!B:B,0)))),0)</f>
        <v>2061877.7789937104</v>
      </c>
      <c r="N38" s="45">
        <f t="shared" si="4"/>
        <v>2266349.5905660372</v>
      </c>
      <c r="O38" s="45">
        <v>552288.11410252727</v>
      </c>
      <c r="P38" s="45">
        <v>7759982.3638583571</v>
      </c>
      <c r="Q38" s="45">
        <f t="shared" si="5"/>
        <v>8312270.4779608846</v>
      </c>
      <c r="R38" s="45" t="str">
        <f t="shared" si="6"/>
        <v>Yes</v>
      </c>
      <c r="S38" s="46" t="str">
        <f t="shared" si="7"/>
        <v>Yes</v>
      </c>
      <c r="T38" s="47">
        <f>ROUND(INDEX(Summary!H:H,MATCH(H:H,Summary!A:A,0)),2)</f>
        <v>0.48</v>
      </c>
      <c r="U38" s="47">
        <f>ROUND(INDEX(Summary!I:I,MATCH(H:H,Summary!A:A,0)),2)</f>
        <v>0.92</v>
      </c>
      <c r="V38" s="85">
        <f t="shared" si="8"/>
        <v>72093.042726733722</v>
      </c>
      <c r="W38" s="85">
        <f t="shared" si="9"/>
        <v>2346094.1527284007</v>
      </c>
      <c r="X38" s="45">
        <f t="shared" si="10"/>
        <v>2418187.1954551344</v>
      </c>
      <c r="Y38" s="45" t="s">
        <v>3223</v>
      </c>
      <c r="Z38" s="45" t="str">
        <f t="shared" si="11"/>
        <v>Yes</v>
      </c>
      <c r="AA38" s="45" t="str">
        <f t="shared" si="12"/>
        <v>Yes</v>
      </c>
      <c r="AB38" s="45" t="str">
        <f t="shared" si="13"/>
        <v>Yes</v>
      </c>
      <c r="AC38" s="86">
        <f t="shared" si="31"/>
        <v>2.23</v>
      </c>
      <c r="AD38" s="86">
        <f t="shared" si="32"/>
        <v>1.48</v>
      </c>
      <c r="AE38" s="45">
        <f t="shared" si="33"/>
        <v>334932.26100128377</v>
      </c>
      <c r="AF38" s="45">
        <f t="shared" si="14"/>
        <v>3774151.4630848179</v>
      </c>
      <c r="AG38" s="45">
        <f t="shared" si="15"/>
        <v>4109083.7240861016</v>
      </c>
      <c r="AH38" s="47">
        <f>IF(Y38="No",0,IFERROR(ROUNDDOWN(INDEX('90% of ACR'!K:K,MATCH(H:H,'90% of ACR'!A:A,0))*IF(I38&gt;0,IF(O38&gt;0,$R$4*MAX(O38-V38,0),0),0)/I38,2),0))</f>
        <v>1.9</v>
      </c>
      <c r="AI38" s="86">
        <f>IF(Y38="No",0,IFERROR(ROUNDDOWN(INDEX('90% of ACR'!R:R,MATCH(H:H,'90% of ACR'!A:A,0))*IF(J38&gt;0,IF(P38&gt;0,$R$4*MAX(P38-W38,0),0),0)/J38,2),0))</f>
        <v>1.47</v>
      </c>
      <c r="AJ38" s="45">
        <f t="shared" si="16"/>
        <v>285368.29412665433</v>
      </c>
      <c r="AK38" s="45">
        <f t="shared" si="17"/>
        <v>3748650.4396855962</v>
      </c>
      <c r="AL38" s="47">
        <f t="shared" si="18"/>
        <v>2.38</v>
      </c>
      <c r="AM38" s="47">
        <f t="shared" si="19"/>
        <v>2.39</v>
      </c>
      <c r="AN38" s="87">
        <f>IFERROR(INDEX(FeeCalc!P:P,MATCH(C38,FeeCalc!F:F,0)),0)</f>
        <v>6452205.929267385</v>
      </c>
      <c r="AO38" s="87">
        <f>IFERROR(INDEX(FeeCalc!S:S,MATCH(C38,FeeCalc!F:F,0)),0)</f>
        <v>396357.75288346491</v>
      </c>
      <c r="AP38" s="87">
        <f t="shared" si="20"/>
        <v>6848563.6821508501</v>
      </c>
      <c r="AQ38" s="72">
        <f t="shared" si="21"/>
        <v>2906064.7243744344</v>
      </c>
      <c r="AR38" s="72">
        <f t="shared" si="22"/>
        <v>1453032.3621872172</v>
      </c>
      <c r="AS38" s="72">
        <f t="shared" si="23"/>
        <v>1453032.3621872172</v>
      </c>
      <c r="AT38" s="72">
        <f>IFERROR(IFERROR(INDEX('2023 IP UPL Data'!L:L,MATCH(A:A,'2023 IP UPL Data'!B:B,0)),INDEX('2023 IMD UPL Data'!I:I,MATCH(A:A,'2023 IMD UPL Data'!B:B,0))),0)</f>
        <v>161724.74842767295</v>
      </c>
      <c r="AU38" s="72">
        <f>IFERROR(IF(F36="IMD",0,INDEX('2023 OP UPL Data'!J:J,MATCH(A:A,'2023 OP UPL Data'!B:B,0))),0)</f>
        <v>1600183.7610062896</v>
      </c>
      <c r="AV38" s="45">
        <f t="shared" si="24"/>
        <v>1761908.5094339626</v>
      </c>
      <c r="AW38" s="72">
        <f>IFERROR(IFERROR(INDEX('2023 IP UPL Data'!M:M,MATCH(A:A,'2023 IP UPL Data'!B:B,0)),INDEX('2023 IMD UPL Data'!K:K,MATCH(A:A,'2023 IMD UPL Data'!B:B,0))),0)</f>
        <v>366196.56</v>
      </c>
      <c r="AX38" s="72">
        <f>IFERROR(IF(F36="IMD",0,INDEX('2023 OP UPL Data'!L:L,MATCH(A:A,'2023 OP UPL Data'!B:B,0))),0)</f>
        <v>3662061.54</v>
      </c>
      <c r="AY38" s="45">
        <f t="shared" si="25"/>
        <v>4028258.1</v>
      </c>
      <c r="AZ38" s="72">
        <v>714012.86253020016</v>
      </c>
      <c r="BA38" s="72">
        <v>9360166.1248646472</v>
      </c>
      <c r="BB38" s="72">
        <f t="shared" si="26"/>
        <v>641919.81980346644</v>
      </c>
      <c r="BC38" s="72">
        <f t="shared" si="27"/>
        <v>7014071.972136246</v>
      </c>
      <c r="BD38" s="72">
        <f t="shared" si="28"/>
        <v>7655991.7919397131</v>
      </c>
      <c r="BE38" s="94">
        <f t="shared" si="29"/>
        <v>347816.30253020016</v>
      </c>
      <c r="BF38" s="94">
        <f t="shared" si="30"/>
        <v>5698104.5848646471</v>
      </c>
      <c r="BG38" s="73">
        <f>IFERROR(INDEX('2023 IP UPL Data'!K:K,MATCH(A38,'2023 IP UPL Data'!B:B,0)),0)</f>
        <v>0</v>
      </c>
    </row>
    <row r="39" spans="1:59" ht="23.25">
      <c r="A39" s="124" t="s">
        <v>1272</v>
      </c>
      <c r="B39" s="31" t="s">
        <v>1272</v>
      </c>
      <c r="C39" s="31" t="s">
        <v>1273</v>
      </c>
      <c r="D39" s="180" t="s">
        <v>1273</v>
      </c>
      <c r="E39" s="144" t="s">
        <v>3194</v>
      </c>
      <c r="F39" s="44" t="s">
        <v>3069</v>
      </c>
      <c r="G39" s="43" t="s">
        <v>1366</v>
      </c>
      <c r="H39" s="43" t="str">
        <f t="shared" si="2"/>
        <v>Non-state-owned IMD Tarrant</v>
      </c>
      <c r="I39" s="45">
        <f>INDEX(FeeCalc!M:M,MATCH(C:C,FeeCalc!F:F,0))</f>
        <v>1738893.4697351537</v>
      </c>
      <c r="J39" s="45">
        <f>INDEX(FeeCalc!L:L,MATCH(C:C,FeeCalc!F:F,0))</f>
        <v>0</v>
      </c>
      <c r="K39" s="45">
        <f t="shared" si="3"/>
        <v>1738893.4697351537</v>
      </c>
      <c r="L39" s="45">
        <f>IFERROR(IFERROR(INDEX('2023 IP UPL Data'!N:N,MATCH(A:A,'2023 IP UPL Data'!B:B,0)),INDEX('2023 IMD UPL Data'!M:M,MATCH(A:A,'2023 IMD UPL Data'!B:B,0))),0)</f>
        <v>316618.40000000002</v>
      </c>
      <c r="M39" s="45">
        <f>IFERROR((IF(F39="IMD",0,INDEX('2023 OP UPL Data'!M:M,MATCH(A:A,'2023 OP UPL Data'!B:B,0)))),0)</f>
        <v>0</v>
      </c>
      <c r="N39" s="45">
        <f t="shared" si="4"/>
        <v>316618.40000000002</v>
      </c>
      <c r="O39" s="45">
        <v>433983.11986991123</v>
      </c>
      <c r="P39" s="45">
        <v>0</v>
      </c>
      <c r="Q39" s="45">
        <f t="shared" si="5"/>
        <v>433983.11986991123</v>
      </c>
      <c r="R39" s="45" t="str">
        <f t="shared" si="6"/>
        <v>Yes</v>
      </c>
      <c r="S39" s="46" t="str">
        <f t="shared" si="7"/>
        <v>No</v>
      </c>
      <c r="T39" s="47">
        <f>ROUND(INDEX(Summary!H:H,MATCH(H:H,Summary!A:A,0)),2)</f>
        <v>0.37</v>
      </c>
      <c r="U39" s="47">
        <f>ROUND(INDEX(Summary!I:I,MATCH(H:H,Summary!A:A,0)),2)</f>
        <v>0</v>
      </c>
      <c r="V39" s="85">
        <f t="shared" si="8"/>
        <v>643390.58380200691</v>
      </c>
      <c r="W39" s="85">
        <f t="shared" si="9"/>
        <v>0</v>
      </c>
      <c r="X39" s="45">
        <f t="shared" si="10"/>
        <v>643390.58380200691</v>
      </c>
      <c r="Y39" s="45" t="s">
        <v>3223</v>
      </c>
      <c r="Z39" s="45" t="str">
        <f t="shared" si="11"/>
        <v>No</v>
      </c>
      <c r="AA39" s="45" t="str">
        <f t="shared" si="12"/>
        <v>No</v>
      </c>
      <c r="AB39" s="45" t="str">
        <f t="shared" si="13"/>
        <v>No</v>
      </c>
      <c r="AC39" s="86">
        <f t="shared" si="31"/>
        <v>0</v>
      </c>
      <c r="AD39" s="86">
        <f t="shared" si="32"/>
        <v>0</v>
      </c>
      <c r="AE39" s="45">
        <f t="shared" si="33"/>
        <v>0</v>
      </c>
      <c r="AF39" s="45">
        <f t="shared" si="14"/>
        <v>0</v>
      </c>
      <c r="AG39" s="45">
        <f t="shared" si="15"/>
        <v>0</v>
      </c>
      <c r="AH39" s="47">
        <f>IF(Y39="No",0,IFERROR(ROUNDDOWN(INDEX('90% of ACR'!K:K,MATCH(H:H,'90% of ACR'!A:A,0))*IF(I39&gt;0,IF(O39&gt;0,$R$4*MAX(O39-V39,0),0),0)/I39,2),0))</f>
        <v>0</v>
      </c>
      <c r="AI39" s="86">
        <f>IF(Y39="No",0,IFERROR(ROUNDDOWN(INDEX('90% of ACR'!R:R,MATCH(H:H,'90% of ACR'!A:A,0))*IF(J39&gt;0,IF(P39&gt;0,$R$4*MAX(P39-W39,0),0),0)/J39,2),0))</f>
        <v>0</v>
      </c>
      <c r="AJ39" s="45">
        <f t="shared" si="16"/>
        <v>0</v>
      </c>
      <c r="AK39" s="45">
        <f t="shared" si="17"/>
        <v>0</v>
      </c>
      <c r="AL39" s="47">
        <f t="shared" si="18"/>
        <v>0.37</v>
      </c>
      <c r="AM39" s="47">
        <f t="shared" si="19"/>
        <v>0</v>
      </c>
      <c r="AN39" s="87">
        <f>IFERROR(INDEX(FeeCalc!P:P,MATCH(C39,FeeCalc!F:F,0)),0)</f>
        <v>643390.58380200691</v>
      </c>
      <c r="AO39" s="87">
        <f>IFERROR(INDEX(FeeCalc!S:S,MATCH(C39,FeeCalc!F:F,0)),0)</f>
        <v>39251.945430891668</v>
      </c>
      <c r="AP39" s="87">
        <f t="shared" si="20"/>
        <v>682642.52923289861</v>
      </c>
      <c r="AQ39" s="72">
        <f t="shared" si="21"/>
        <v>289667.06971445441</v>
      </c>
      <c r="AR39" s="72">
        <f t="shared" si="22"/>
        <v>144833.53485722721</v>
      </c>
      <c r="AS39" s="72">
        <f t="shared" si="23"/>
        <v>144833.53485722721</v>
      </c>
      <c r="AT39" s="72">
        <f>IFERROR(IFERROR(INDEX('2023 IP UPL Data'!L:L,MATCH(A:A,'2023 IP UPL Data'!B:B,0)),INDEX('2023 IMD UPL Data'!I:I,MATCH(A:A,'2023 IMD UPL Data'!B:B,0))),0)</f>
        <v>457374.9</v>
      </c>
      <c r="AU39" s="72">
        <f>IFERROR(IF(F37="IMD",0,INDEX('2023 OP UPL Data'!J:J,MATCH(A:A,'2023 OP UPL Data'!B:B,0))),0)</f>
        <v>0</v>
      </c>
      <c r="AV39" s="45">
        <f t="shared" si="24"/>
        <v>457374.9</v>
      </c>
      <c r="AW39" s="72">
        <f>IFERROR(IFERROR(INDEX('2023 IP UPL Data'!M:M,MATCH(A:A,'2023 IP UPL Data'!B:B,0)),INDEX('2023 IMD UPL Data'!K:K,MATCH(A:A,'2023 IMD UPL Data'!B:B,0))),0)</f>
        <v>316618.40000000002</v>
      </c>
      <c r="AX39" s="72">
        <f>IFERROR(IF(F37="IMD",0,INDEX('2023 OP UPL Data'!L:L,MATCH(A:A,'2023 OP UPL Data'!B:B,0))),0)</f>
        <v>0</v>
      </c>
      <c r="AY39" s="45">
        <f t="shared" si="25"/>
        <v>316618.40000000002</v>
      </c>
      <c r="AZ39" s="72">
        <v>891358.01986991125</v>
      </c>
      <c r="BA39" s="72">
        <v>0</v>
      </c>
      <c r="BB39" s="72">
        <f t="shared" si="26"/>
        <v>247967.43606790435</v>
      </c>
      <c r="BC39" s="72">
        <f t="shared" si="27"/>
        <v>0</v>
      </c>
      <c r="BD39" s="72">
        <f t="shared" si="28"/>
        <v>247967.43606790435</v>
      </c>
      <c r="BE39" s="94">
        <f t="shared" si="29"/>
        <v>574739.61986991123</v>
      </c>
      <c r="BF39" s="94">
        <f t="shared" si="30"/>
        <v>0</v>
      </c>
      <c r="BG39" s="73">
        <f>IFERROR(INDEX('2023 IP UPL Data'!K:K,MATCH(A39,'2023 IP UPL Data'!B:B,0)),0)</f>
        <v>0</v>
      </c>
    </row>
    <row r="40" spans="1:59">
      <c r="A40" s="124" t="s">
        <v>1415</v>
      </c>
      <c r="B40" s="31" t="s">
        <v>1415</v>
      </c>
      <c r="C40" s="31" t="s">
        <v>1416</v>
      </c>
      <c r="D40" s="180" t="s">
        <v>1416</v>
      </c>
      <c r="E40" s="144" t="s">
        <v>3125</v>
      </c>
      <c r="F40" s="44" t="s">
        <v>2718</v>
      </c>
      <c r="G40" s="43" t="s">
        <v>223</v>
      </c>
      <c r="H40" s="43" t="str">
        <f t="shared" si="2"/>
        <v>Urban Dallas</v>
      </c>
      <c r="I40" s="45">
        <f>INDEX(FeeCalc!M:M,MATCH(C:C,FeeCalc!F:F,0))</f>
        <v>266231.55928039947</v>
      </c>
      <c r="J40" s="45">
        <f>INDEX(FeeCalc!L:L,MATCH(C:C,FeeCalc!F:F,0))</f>
        <v>0</v>
      </c>
      <c r="K40" s="45">
        <f t="shared" si="3"/>
        <v>266231.55928039947</v>
      </c>
      <c r="L40" s="45">
        <f>IFERROR(IFERROR(INDEX('2023 IP UPL Data'!N:N,MATCH(A:A,'2023 IP UPL Data'!B:B,0)),INDEX('2023 IMD UPL Data'!M:M,MATCH(A:A,'2023 IMD UPL Data'!B:B,0))),0)</f>
        <v>383618.08795180719</v>
      </c>
      <c r="M40" s="45">
        <f>IFERROR((IF(F40="IMD",0,INDEX('2023 OP UPL Data'!M:M,MATCH(A:A,'2023 OP UPL Data'!B:B,0)))),0)</f>
        <v>0</v>
      </c>
      <c r="N40" s="45">
        <f t="shared" si="4"/>
        <v>383618.08795180719</v>
      </c>
      <c r="O40" s="45">
        <v>93886.283216771553</v>
      </c>
      <c r="P40" s="45">
        <v>0</v>
      </c>
      <c r="Q40" s="45">
        <f t="shared" si="5"/>
        <v>93886.283216771553</v>
      </c>
      <c r="R40" s="45" t="str">
        <f t="shared" si="6"/>
        <v>Yes</v>
      </c>
      <c r="S40" s="46" t="str">
        <f t="shared" si="7"/>
        <v>No</v>
      </c>
      <c r="T40" s="47">
        <f>ROUND(INDEX(Summary!H:H,MATCH(H:H,Summary!A:A,0)),2)</f>
        <v>1.2</v>
      </c>
      <c r="U40" s="47">
        <f>ROUND(INDEX(Summary!I:I,MATCH(H:H,Summary!A:A,0)),2)</f>
        <v>1.08</v>
      </c>
      <c r="V40" s="85">
        <f t="shared" si="8"/>
        <v>319477.87113647937</v>
      </c>
      <c r="W40" s="85">
        <f t="shared" si="9"/>
        <v>0</v>
      </c>
      <c r="X40" s="45">
        <f t="shared" si="10"/>
        <v>319477.87113647937</v>
      </c>
      <c r="Y40" s="45" t="s">
        <v>3223</v>
      </c>
      <c r="Z40" s="45" t="str">
        <f t="shared" si="11"/>
        <v>No</v>
      </c>
      <c r="AA40" s="45" t="str">
        <f t="shared" si="12"/>
        <v>No</v>
      </c>
      <c r="AB40" s="45" t="str">
        <f t="shared" si="13"/>
        <v>No</v>
      </c>
      <c r="AC40" s="86">
        <f t="shared" si="31"/>
        <v>0</v>
      </c>
      <c r="AD40" s="86">
        <f t="shared" si="32"/>
        <v>0</v>
      </c>
      <c r="AE40" s="45">
        <f t="shared" si="33"/>
        <v>0</v>
      </c>
      <c r="AF40" s="45">
        <f t="shared" si="14"/>
        <v>0</v>
      </c>
      <c r="AG40" s="45">
        <f t="shared" si="15"/>
        <v>0</v>
      </c>
      <c r="AH40" s="47">
        <f>IF(Y40="No",0,IFERROR(ROUNDDOWN(INDEX('90% of ACR'!K:K,MATCH(H:H,'90% of ACR'!A:A,0))*IF(I40&gt;0,IF(O40&gt;0,$R$4*MAX(O40-V40,0),0),0)/I40,2),0))</f>
        <v>0</v>
      </c>
      <c r="AI40" s="86">
        <f>IF(Y40="No",0,IFERROR(ROUNDDOWN(INDEX('90% of ACR'!R:R,MATCH(H:H,'90% of ACR'!A:A,0))*IF(J40&gt;0,IF(P40&gt;0,$R$4*MAX(P40-W40,0),0),0)/J40,2),0))</f>
        <v>0</v>
      </c>
      <c r="AJ40" s="45">
        <f t="shared" si="16"/>
        <v>0</v>
      </c>
      <c r="AK40" s="45">
        <f t="shared" si="17"/>
        <v>0</v>
      </c>
      <c r="AL40" s="47">
        <f t="shared" si="18"/>
        <v>1.2</v>
      </c>
      <c r="AM40" s="47">
        <f t="shared" si="19"/>
        <v>1.08</v>
      </c>
      <c r="AN40" s="87">
        <f>IFERROR(INDEX(FeeCalc!P:P,MATCH(C40,FeeCalc!F:F,0)),0)</f>
        <v>319477.87113647937</v>
      </c>
      <c r="AO40" s="87">
        <f>IFERROR(INDEX(FeeCalc!S:S,MATCH(C40,FeeCalc!F:F,0)),0)</f>
        <v>20290.733048259986</v>
      </c>
      <c r="AP40" s="87">
        <f t="shared" si="20"/>
        <v>339768.60418473935</v>
      </c>
      <c r="AQ40" s="72">
        <f t="shared" si="21"/>
        <v>144174.69135091885</v>
      </c>
      <c r="AR40" s="72">
        <f t="shared" si="22"/>
        <v>72087.345675459423</v>
      </c>
      <c r="AS40" s="72">
        <f t="shared" si="23"/>
        <v>72087.345675459423</v>
      </c>
      <c r="AT40" s="72">
        <f>IFERROR(IFERROR(INDEX('2023 IP UPL Data'!L:L,MATCH(A:A,'2023 IP UPL Data'!B:B,0)),INDEX('2023 IMD UPL Data'!I:I,MATCH(A:A,'2023 IMD UPL Data'!B:B,0))),0)</f>
        <v>277653.01204819279</v>
      </c>
      <c r="AU40" s="72">
        <f>IFERROR(IF(F38="IMD",0,INDEX('2023 OP UPL Data'!J:J,MATCH(A:A,'2023 OP UPL Data'!B:B,0))),0)</f>
        <v>0</v>
      </c>
      <c r="AV40" s="45">
        <f t="shared" si="24"/>
        <v>277653.01204819279</v>
      </c>
      <c r="AW40" s="72">
        <f>IFERROR(IFERROR(INDEX('2023 IP UPL Data'!M:M,MATCH(A:A,'2023 IP UPL Data'!B:B,0)),INDEX('2023 IMD UPL Data'!K:K,MATCH(A:A,'2023 IMD UPL Data'!B:B,0))),0)</f>
        <v>661271.1</v>
      </c>
      <c r="AX40" s="72">
        <f>IFERROR(IF(F38="IMD",0,INDEX('2023 OP UPL Data'!L:L,MATCH(A:A,'2023 OP UPL Data'!B:B,0))),0)</f>
        <v>0</v>
      </c>
      <c r="AY40" s="45">
        <f t="shared" si="25"/>
        <v>661271.1</v>
      </c>
      <c r="AZ40" s="72">
        <v>371539.29526496434</v>
      </c>
      <c r="BA40" s="72">
        <v>0</v>
      </c>
      <c r="BB40" s="72">
        <f t="shared" si="26"/>
        <v>52061.42412848497</v>
      </c>
      <c r="BC40" s="72">
        <f t="shared" si="27"/>
        <v>0</v>
      </c>
      <c r="BD40" s="72">
        <f t="shared" si="28"/>
        <v>52061.42412848497</v>
      </c>
      <c r="BE40" s="94">
        <f t="shared" si="29"/>
        <v>0</v>
      </c>
      <c r="BF40" s="94">
        <f t="shared" si="30"/>
        <v>0</v>
      </c>
      <c r="BG40" s="73">
        <f>IFERROR(INDEX('2023 IP UPL Data'!K:K,MATCH(A40,'2023 IP UPL Data'!B:B,0)),0)</f>
        <v>0</v>
      </c>
    </row>
    <row r="41" spans="1:59">
      <c r="A41" s="124" t="s">
        <v>1446</v>
      </c>
      <c r="B41" s="31" t="s">
        <v>1446</v>
      </c>
      <c r="C41" s="31" t="s">
        <v>1447</v>
      </c>
      <c r="D41" s="180" t="s">
        <v>1447</v>
      </c>
      <c r="E41" s="144" t="s">
        <v>3127</v>
      </c>
      <c r="F41" s="44" t="s">
        <v>2718</v>
      </c>
      <c r="G41" s="43" t="s">
        <v>223</v>
      </c>
      <c r="H41" s="43" t="str">
        <f t="shared" si="2"/>
        <v>Urban Dallas</v>
      </c>
      <c r="I41" s="45">
        <f>INDEX(FeeCalc!M:M,MATCH(C:C,FeeCalc!F:F,0))</f>
        <v>60747.308633349239</v>
      </c>
      <c r="J41" s="45">
        <f>INDEX(FeeCalc!L:L,MATCH(C:C,FeeCalc!F:F,0))</f>
        <v>0</v>
      </c>
      <c r="K41" s="45">
        <f t="shared" si="3"/>
        <v>60747.308633349239</v>
      </c>
      <c r="L41" s="45">
        <f>IFERROR(IFERROR(INDEX('2023 IP UPL Data'!N:N,MATCH(A:A,'2023 IP UPL Data'!B:B,0)),INDEX('2023 IMD UPL Data'!M:M,MATCH(A:A,'2023 IMD UPL Data'!B:B,0))),0)</f>
        <v>97852.07</v>
      </c>
      <c r="M41" s="45">
        <f>IFERROR((IF(F41="IMD",0,INDEX('2023 OP UPL Data'!M:M,MATCH(A:A,'2023 OP UPL Data'!B:B,0)))),0)</f>
        <v>0</v>
      </c>
      <c r="N41" s="45">
        <f t="shared" si="4"/>
        <v>97852.07</v>
      </c>
      <c r="O41" s="45">
        <v>26846.747789092333</v>
      </c>
      <c r="P41" s="45">
        <v>0</v>
      </c>
      <c r="Q41" s="45">
        <f t="shared" si="5"/>
        <v>26846.747789092333</v>
      </c>
      <c r="R41" s="45" t="str">
        <f t="shared" si="6"/>
        <v>Yes</v>
      </c>
      <c r="S41" s="46" t="str">
        <f t="shared" si="7"/>
        <v>No</v>
      </c>
      <c r="T41" s="47">
        <f>ROUND(INDEX(Summary!H:H,MATCH(H:H,Summary!A:A,0)),2)</f>
        <v>1.2</v>
      </c>
      <c r="U41" s="47">
        <f>ROUND(INDEX(Summary!I:I,MATCH(H:H,Summary!A:A,0)),2)</f>
        <v>1.08</v>
      </c>
      <c r="V41" s="85">
        <f t="shared" si="8"/>
        <v>72896.770360019087</v>
      </c>
      <c r="W41" s="85">
        <f t="shared" si="9"/>
        <v>0</v>
      </c>
      <c r="X41" s="45">
        <f t="shared" si="10"/>
        <v>72896.770360019087</v>
      </c>
      <c r="Y41" s="45" t="s">
        <v>3223</v>
      </c>
      <c r="Z41" s="45" t="str">
        <f t="shared" si="11"/>
        <v>No</v>
      </c>
      <c r="AA41" s="45" t="str">
        <f t="shared" si="12"/>
        <v>No</v>
      </c>
      <c r="AB41" s="45" t="str">
        <f t="shared" si="13"/>
        <v>No</v>
      </c>
      <c r="AC41" s="86">
        <f t="shared" si="31"/>
        <v>0</v>
      </c>
      <c r="AD41" s="86">
        <f t="shared" si="32"/>
        <v>0</v>
      </c>
      <c r="AE41" s="45">
        <f t="shared" si="33"/>
        <v>0</v>
      </c>
      <c r="AF41" s="45">
        <f t="shared" si="14"/>
        <v>0</v>
      </c>
      <c r="AG41" s="45">
        <f t="shared" si="15"/>
        <v>0</v>
      </c>
      <c r="AH41" s="47">
        <f>IF(Y41="No",0,IFERROR(ROUNDDOWN(INDEX('90% of ACR'!K:K,MATCH(H:H,'90% of ACR'!A:A,0))*IF(I41&gt;0,IF(O41&gt;0,$R$4*MAX(O41-V41,0),0),0)/I41,2),0))</f>
        <v>0</v>
      </c>
      <c r="AI41" s="86">
        <f>IF(Y41="No",0,IFERROR(ROUNDDOWN(INDEX('90% of ACR'!R:R,MATCH(H:H,'90% of ACR'!A:A,0))*IF(J41&gt;0,IF(P41&gt;0,$R$4*MAX(P41-W41,0),0),0)/J41,2),0))</f>
        <v>0</v>
      </c>
      <c r="AJ41" s="45">
        <f t="shared" si="16"/>
        <v>0</v>
      </c>
      <c r="AK41" s="45">
        <f t="shared" si="17"/>
        <v>0</v>
      </c>
      <c r="AL41" s="47">
        <f t="shared" si="18"/>
        <v>1.2</v>
      </c>
      <c r="AM41" s="47">
        <f t="shared" si="19"/>
        <v>1.08</v>
      </c>
      <c r="AN41" s="87">
        <f>IFERROR(INDEX(FeeCalc!P:P,MATCH(C41,FeeCalc!F:F,0)),0)</f>
        <v>72896.770360019087</v>
      </c>
      <c r="AO41" s="87">
        <f>IFERROR(INDEX(FeeCalc!S:S,MATCH(C41,FeeCalc!F:F,0)),0)</f>
        <v>4652.985342128879</v>
      </c>
      <c r="AP41" s="87">
        <f t="shared" si="20"/>
        <v>77549.755702147959</v>
      </c>
      <c r="AQ41" s="72">
        <f t="shared" si="21"/>
        <v>32906.842936603847</v>
      </c>
      <c r="AR41" s="72">
        <f t="shared" si="22"/>
        <v>16453.421468301924</v>
      </c>
      <c r="AS41" s="72">
        <f t="shared" si="23"/>
        <v>16453.421468301924</v>
      </c>
      <c r="AT41" s="72">
        <f>IFERROR(IFERROR(INDEX('2023 IP UPL Data'!L:L,MATCH(A:A,'2023 IP UPL Data'!B:B,0)),INDEX('2023 IMD UPL Data'!I:I,MATCH(A:A,'2023 IMD UPL Data'!B:B,0))),0)</f>
        <v>82450</v>
      </c>
      <c r="AU41" s="72">
        <f>IFERROR(IF(F39="IMD",0,INDEX('2023 OP UPL Data'!J:J,MATCH(A:A,'2023 OP UPL Data'!B:B,0))),0)</f>
        <v>0</v>
      </c>
      <c r="AV41" s="45">
        <f t="shared" si="24"/>
        <v>82450</v>
      </c>
      <c r="AW41" s="72">
        <f>IFERROR(IFERROR(INDEX('2023 IP UPL Data'!M:M,MATCH(A:A,'2023 IP UPL Data'!B:B,0)),INDEX('2023 IMD UPL Data'!K:K,MATCH(A:A,'2023 IMD UPL Data'!B:B,0))),0)</f>
        <v>180302.07</v>
      </c>
      <c r="AX41" s="72">
        <f>IFERROR(IF(F39="IMD",0,INDEX('2023 OP UPL Data'!L:L,MATCH(A:A,'2023 OP UPL Data'!B:B,0))),0)</f>
        <v>0</v>
      </c>
      <c r="AY41" s="45">
        <f t="shared" si="25"/>
        <v>180302.07</v>
      </c>
      <c r="AZ41" s="72">
        <v>109296.74778909233</v>
      </c>
      <c r="BA41" s="72">
        <v>0</v>
      </c>
      <c r="BB41" s="72">
        <f t="shared" si="26"/>
        <v>36399.977429073246</v>
      </c>
      <c r="BC41" s="72">
        <f t="shared" si="27"/>
        <v>0</v>
      </c>
      <c r="BD41" s="72">
        <f t="shared" si="28"/>
        <v>36399.977429073246</v>
      </c>
      <c r="BE41" s="94">
        <f t="shared" si="29"/>
        <v>0</v>
      </c>
      <c r="BF41" s="94">
        <f t="shared" si="30"/>
        <v>0</v>
      </c>
      <c r="BG41" s="73">
        <f>IFERROR(INDEX('2023 IP UPL Data'!K:K,MATCH(A41,'2023 IP UPL Data'!B:B,0)),0)</f>
        <v>0</v>
      </c>
    </row>
    <row r="42" spans="1:59">
      <c r="A42" s="124" t="s">
        <v>680</v>
      </c>
      <c r="B42" s="31" t="s">
        <v>680</v>
      </c>
      <c r="C42" s="31" t="s">
        <v>681</v>
      </c>
      <c r="D42" s="180" t="s">
        <v>681</v>
      </c>
      <c r="E42" s="144" t="s">
        <v>3446</v>
      </c>
      <c r="F42" s="44" t="s">
        <v>2718</v>
      </c>
      <c r="G42" s="43" t="s">
        <v>223</v>
      </c>
      <c r="H42" s="43" t="str">
        <f t="shared" si="2"/>
        <v>Urban Dallas</v>
      </c>
      <c r="I42" s="45">
        <f>INDEX(FeeCalc!M:M,MATCH(C:C,FeeCalc!F:F,0))</f>
        <v>1346012.5017716272</v>
      </c>
      <c r="J42" s="45">
        <f>INDEX(FeeCalc!L:L,MATCH(C:C,FeeCalc!F:F,0))</f>
        <v>606087.5386763314</v>
      </c>
      <c r="K42" s="45">
        <f t="shared" si="3"/>
        <v>1952100.0404479587</v>
      </c>
      <c r="L42" s="45">
        <f>IFERROR(IFERROR(INDEX('2023 IP UPL Data'!N:N,MATCH(A:A,'2023 IP UPL Data'!B:B,0)),INDEX('2023 IMD UPL Data'!M:M,MATCH(A:A,'2023 IMD UPL Data'!B:B,0))),0)</f>
        <v>1414520.3620481929</v>
      </c>
      <c r="M42" s="45">
        <f>IFERROR((IF(F42="IMD",0,INDEX('2023 OP UPL Data'!M:M,MATCH(A:A,'2023 OP UPL Data'!B:B,0)))),0)</f>
        <v>640663.69084337354</v>
      </c>
      <c r="N42" s="45">
        <f t="shared" si="4"/>
        <v>2055184.0528915664</v>
      </c>
      <c r="O42" s="45">
        <v>1196052.0957330803</v>
      </c>
      <c r="P42" s="45">
        <v>892205.9952590894</v>
      </c>
      <c r="Q42" s="45">
        <f t="shared" si="5"/>
        <v>2088258.0909921697</v>
      </c>
      <c r="R42" s="45" t="str">
        <f t="shared" si="6"/>
        <v>Yes</v>
      </c>
      <c r="S42" s="46" t="str">
        <f t="shared" si="7"/>
        <v>Yes</v>
      </c>
      <c r="T42" s="47">
        <f>ROUND(INDEX(Summary!H:H,MATCH(H:H,Summary!A:A,0)),2)</f>
        <v>1.2</v>
      </c>
      <c r="U42" s="47">
        <f>ROUND(INDEX(Summary!I:I,MATCH(H:H,Summary!A:A,0)),2)</f>
        <v>1.08</v>
      </c>
      <c r="V42" s="85">
        <f t="shared" si="8"/>
        <v>1615215.0021259526</v>
      </c>
      <c r="W42" s="85">
        <f t="shared" si="9"/>
        <v>654574.54177043797</v>
      </c>
      <c r="X42" s="45">
        <f t="shared" si="10"/>
        <v>2269789.5438963906</v>
      </c>
      <c r="Y42" s="45" t="s">
        <v>3223</v>
      </c>
      <c r="Z42" s="45" t="str">
        <f t="shared" si="11"/>
        <v>No</v>
      </c>
      <c r="AA42" s="45" t="str">
        <f t="shared" si="12"/>
        <v>Yes</v>
      </c>
      <c r="AB42" s="45" t="str">
        <f t="shared" si="13"/>
        <v>Yes</v>
      </c>
      <c r="AC42" s="86">
        <f t="shared" si="31"/>
        <v>0</v>
      </c>
      <c r="AD42" s="86">
        <f t="shared" si="32"/>
        <v>0.27</v>
      </c>
      <c r="AE42" s="45">
        <f t="shared" si="33"/>
        <v>0</v>
      </c>
      <c r="AF42" s="45">
        <f t="shared" si="14"/>
        <v>163643.63544260949</v>
      </c>
      <c r="AG42" s="45">
        <f t="shared" si="15"/>
        <v>163643.63544260949</v>
      </c>
      <c r="AH42" s="47">
        <f>IF(Y42="No",0,IFERROR(ROUNDDOWN(INDEX('90% of ACR'!K:K,MATCH(H:H,'90% of ACR'!A:A,0))*IF(I42&gt;0,IF(O42&gt;0,$R$4*MAX(O42-V42,0),0),0)/I42,2),0))</f>
        <v>0</v>
      </c>
      <c r="AI42" s="86">
        <f>IF(Y42="No",0,IFERROR(ROUNDDOWN(INDEX('90% of ACR'!R:R,MATCH(H:H,'90% of ACR'!A:A,0))*IF(J42&gt;0,IF(P42&gt;0,$R$4*MAX(P42-W42,0),0),0)/J42,2),0))</f>
        <v>0.27</v>
      </c>
      <c r="AJ42" s="45">
        <f t="shared" si="16"/>
        <v>0</v>
      </c>
      <c r="AK42" s="45">
        <f t="shared" si="17"/>
        <v>163643.63544260949</v>
      </c>
      <c r="AL42" s="47">
        <f t="shared" si="18"/>
        <v>1.2</v>
      </c>
      <c r="AM42" s="47">
        <f t="shared" si="19"/>
        <v>1.35</v>
      </c>
      <c r="AN42" s="87">
        <f>IFERROR(INDEX(FeeCalc!P:P,MATCH(C42,FeeCalc!F:F,0)),0)</f>
        <v>2433433.179339</v>
      </c>
      <c r="AO42" s="87">
        <f>IFERROR(INDEX(FeeCalc!S:S,MATCH(C42,FeeCalc!F:F,0)),0)</f>
        <v>153633.73241228168</v>
      </c>
      <c r="AP42" s="87">
        <f t="shared" si="20"/>
        <v>2587066.9117512815</v>
      </c>
      <c r="AQ42" s="72">
        <f t="shared" si="21"/>
        <v>1097775.2767972448</v>
      </c>
      <c r="AR42" s="72">
        <f t="shared" si="22"/>
        <v>548887.6383986224</v>
      </c>
      <c r="AS42" s="72">
        <f t="shared" si="23"/>
        <v>548887.6383986224</v>
      </c>
      <c r="AT42" s="72">
        <f>IFERROR(IFERROR(INDEX('2023 IP UPL Data'!L:L,MATCH(A:A,'2023 IP UPL Data'!B:B,0)),INDEX('2023 IMD UPL Data'!I:I,MATCH(A:A,'2023 IMD UPL Data'!B:B,0))),0)</f>
        <v>818016.98795180721</v>
      </c>
      <c r="AU42" s="72">
        <f>IFERROR(IF(F40="IMD",0,INDEX('2023 OP UPL Data'!J:J,MATCH(A:A,'2023 OP UPL Data'!B:B,0))),0)</f>
        <v>219601.28915662647</v>
      </c>
      <c r="AV42" s="45">
        <f t="shared" si="24"/>
        <v>1037618.2771084337</v>
      </c>
      <c r="AW42" s="72">
        <f>IFERROR(IFERROR(INDEX('2023 IP UPL Data'!M:M,MATCH(A:A,'2023 IP UPL Data'!B:B,0)),INDEX('2023 IMD UPL Data'!K:K,MATCH(A:A,'2023 IMD UPL Data'!B:B,0))),0)</f>
        <v>2232537.35</v>
      </c>
      <c r="AX42" s="72">
        <f>IFERROR(IF(F40="IMD",0,INDEX('2023 OP UPL Data'!L:L,MATCH(A:A,'2023 OP UPL Data'!B:B,0))),0)</f>
        <v>860264.98</v>
      </c>
      <c r="AY42" s="45">
        <f t="shared" si="25"/>
        <v>3092802.33</v>
      </c>
      <c r="AZ42" s="72">
        <v>2014069.0836848875</v>
      </c>
      <c r="BA42" s="72">
        <v>1111807.2844157158</v>
      </c>
      <c r="BB42" s="72">
        <f t="shared" si="26"/>
        <v>398854.08155893488</v>
      </c>
      <c r="BC42" s="72">
        <f t="shared" si="27"/>
        <v>457232.74264527787</v>
      </c>
      <c r="BD42" s="72">
        <f t="shared" si="28"/>
        <v>856086.82420421252</v>
      </c>
      <c r="BE42" s="94">
        <f t="shared" si="29"/>
        <v>0</v>
      </c>
      <c r="BF42" s="94">
        <f t="shared" si="30"/>
        <v>251542.30441571586</v>
      </c>
      <c r="BG42" s="73">
        <f>IFERROR(INDEX('2023 IP UPL Data'!K:K,MATCH(A42,'2023 IP UPL Data'!B:B,0)),0)</f>
        <v>0</v>
      </c>
    </row>
    <row r="43" spans="1:59">
      <c r="A43" s="124" t="s">
        <v>980</v>
      </c>
      <c r="B43" s="31" t="s">
        <v>980</v>
      </c>
      <c r="C43" s="31" t="s">
        <v>981</v>
      </c>
      <c r="D43" s="48" t="s">
        <v>981</v>
      </c>
      <c r="E43" s="144" t="s">
        <v>3447</v>
      </c>
      <c r="F43" s="44" t="s">
        <v>2718</v>
      </c>
      <c r="G43" s="44" t="s">
        <v>223</v>
      </c>
      <c r="H43" s="43" t="str">
        <f t="shared" si="2"/>
        <v>Urban Dallas</v>
      </c>
      <c r="I43" s="45">
        <f>INDEX(FeeCalc!M:M,MATCH(C:C,FeeCalc!F:F,0))</f>
        <v>4804386.3878369061</v>
      </c>
      <c r="J43" s="45">
        <f>INDEX(FeeCalc!L:L,MATCH(C:C,FeeCalc!F:F,0))</f>
        <v>1522142.381646194</v>
      </c>
      <c r="K43" s="45">
        <f t="shared" si="3"/>
        <v>6326528.7694831006</v>
      </c>
      <c r="L43" s="45">
        <f>IFERROR(IFERROR(INDEX('2023 IP UPL Data'!N:N,MATCH(A:A,'2023 IP UPL Data'!B:B,0)),INDEX('2023 IMD UPL Data'!M:M,MATCH(A:A,'2023 IMD UPL Data'!B:B,0))),0)</f>
        <v>7140676.4492771095</v>
      </c>
      <c r="M43" s="45">
        <f>IFERROR((IF(F43="IMD",0,INDEX('2023 OP UPL Data'!M:M,MATCH(A:A,'2023 OP UPL Data'!B:B,0)))),0)</f>
        <v>3106024.9437349397</v>
      </c>
      <c r="N43" s="45">
        <f t="shared" si="4"/>
        <v>10246701.393012049</v>
      </c>
      <c r="O43" s="45">
        <v>14325716.728733186</v>
      </c>
      <c r="P43" s="45">
        <v>7351288.7056244109</v>
      </c>
      <c r="Q43" s="45">
        <f t="shared" si="5"/>
        <v>21677005.434357598</v>
      </c>
      <c r="R43" s="45" t="str">
        <f t="shared" si="6"/>
        <v>Yes</v>
      </c>
      <c r="S43" s="46" t="str">
        <f t="shared" si="7"/>
        <v>Yes</v>
      </c>
      <c r="T43" s="47">
        <f>ROUND(INDEX(Summary!H:H,MATCH(H:H,Summary!A:A,0)),2)</f>
        <v>1.2</v>
      </c>
      <c r="U43" s="47">
        <f>ROUND(INDEX(Summary!I:I,MATCH(H:H,Summary!A:A,0)),2)</f>
        <v>1.08</v>
      </c>
      <c r="V43" s="85">
        <f t="shared" si="8"/>
        <v>5765263.6654042872</v>
      </c>
      <c r="W43" s="85">
        <f t="shared" si="9"/>
        <v>1643913.7721778897</v>
      </c>
      <c r="X43" s="45">
        <f t="shared" si="10"/>
        <v>7409177.4375821771</v>
      </c>
      <c r="Y43" s="45" t="s">
        <v>3223</v>
      </c>
      <c r="Z43" s="45" t="str">
        <f t="shared" si="11"/>
        <v>Yes</v>
      </c>
      <c r="AA43" s="45" t="str">
        <f t="shared" si="12"/>
        <v>Yes</v>
      </c>
      <c r="AB43" s="45" t="str">
        <f t="shared" si="13"/>
        <v>Yes</v>
      </c>
      <c r="AC43" s="86">
        <f t="shared" si="31"/>
        <v>1.24</v>
      </c>
      <c r="AD43" s="86">
        <f t="shared" si="32"/>
        <v>2.61</v>
      </c>
      <c r="AE43" s="45">
        <f t="shared" si="33"/>
        <v>5957439.1209177636</v>
      </c>
      <c r="AF43" s="45">
        <f t="shared" si="14"/>
        <v>3972791.6160965664</v>
      </c>
      <c r="AG43" s="45">
        <f t="shared" si="15"/>
        <v>9930230.7370143309</v>
      </c>
      <c r="AH43" s="47">
        <f>IF(Y43="No",0,IFERROR(ROUNDDOWN(INDEX('90% of ACR'!K:K,MATCH(H:H,'90% of ACR'!A:A,0))*IF(I43&gt;0,IF(O43&gt;0,$R$4*MAX(O43-V43,0),0),0)/I43,2),0))</f>
        <v>1.19</v>
      </c>
      <c r="AI43" s="86">
        <f>IF(Y43="No",0,IFERROR(ROUNDDOWN(INDEX('90% of ACR'!R:R,MATCH(H:H,'90% of ACR'!A:A,0))*IF(J43&gt;0,IF(P43&gt;0,$R$4*MAX(P43-W43,0),0),0)/J43,2),0))</f>
        <v>2.61</v>
      </c>
      <c r="AJ43" s="45">
        <f t="shared" si="16"/>
        <v>5717219.8015259178</v>
      </c>
      <c r="AK43" s="45">
        <f t="shared" si="17"/>
        <v>3972791.6160965664</v>
      </c>
      <c r="AL43" s="47">
        <f t="shared" si="18"/>
        <v>2.3899999999999997</v>
      </c>
      <c r="AM43" s="47">
        <f t="shared" si="19"/>
        <v>3.69</v>
      </c>
      <c r="AN43" s="87">
        <f>IFERROR(INDEX(FeeCalc!P:P,MATCH(C43,FeeCalc!F:F,0)),0)</f>
        <v>17099188.85520466</v>
      </c>
      <c r="AO43" s="87">
        <f>IFERROR(INDEX(FeeCalc!S:S,MATCH(C43,FeeCalc!F:F,0)),0)</f>
        <v>1063227.0979427055</v>
      </c>
      <c r="AP43" s="87">
        <f t="shared" si="20"/>
        <v>18162415.953147367</v>
      </c>
      <c r="AQ43" s="72">
        <f t="shared" si="21"/>
        <v>7706894.2862309292</v>
      </c>
      <c r="AR43" s="72">
        <f t="shared" si="22"/>
        <v>3853447.1431154646</v>
      </c>
      <c r="AS43" s="72">
        <f t="shared" si="23"/>
        <v>3853447.1431154646</v>
      </c>
      <c r="AT43" s="72">
        <f>IFERROR(IFERROR(INDEX('2023 IP UPL Data'!L:L,MATCH(A:A,'2023 IP UPL Data'!B:B,0)),INDEX('2023 IMD UPL Data'!I:I,MATCH(A:A,'2023 IMD UPL Data'!B:B,0))),0)</f>
        <v>4490216.6807228914</v>
      </c>
      <c r="AU43" s="72">
        <f>IFERROR(IF(F41="IMD",0,INDEX('2023 OP UPL Data'!J:J,MATCH(A:A,'2023 OP UPL Data'!B:B,0))),0)</f>
        <v>848237.56626506022</v>
      </c>
      <c r="AV43" s="45">
        <f t="shared" si="24"/>
        <v>5338454.2469879519</v>
      </c>
      <c r="AW43" s="72">
        <f>IFERROR(IFERROR(INDEX('2023 IP UPL Data'!M:M,MATCH(A:A,'2023 IP UPL Data'!B:B,0)),INDEX('2023 IMD UPL Data'!K:K,MATCH(A:A,'2023 IMD UPL Data'!B:B,0))),0)</f>
        <v>11630893.130000001</v>
      </c>
      <c r="AX43" s="72">
        <f>IFERROR(IF(F41="IMD",0,INDEX('2023 OP UPL Data'!L:L,MATCH(A:A,'2023 OP UPL Data'!B:B,0))),0)</f>
        <v>3954262.51</v>
      </c>
      <c r="AY43" s="45">
        <f t="shared" si="25"/>
        <v>15585155.640000001</v>
      </c>
      <c r="AZ43" s="72">
        <v>18815933.409456078</v>
      </c>
      <c r="BA43" s="72">
        <v>8199526.2718894714</v>
      </c>
      <c r="BB43" s="72">
        <f t="shared" si="26"/>
        <v>13050669.744051792</v>
      </c>
      <c r="BC43" s="72">
        <f t="shared" si="27"/>
        <v>6555612.4997115815</v>
      </c>
      <c r="BD43" s="72">
        <f t="shared" si="28"/>
        <v>19606282.243763372</v>
      </c>
      <c r="BE43" s="94">
        <f t="shared" si="29"/>
        <v>7185040.2794560771</v>
      </c>
      <c r="BF43" s="94">
        <f t="shared" si="30"/>
        <v>4245263.7618894717</v>
      </c>
      <c r="BG43" s="73">
        <f>IFERROR(INDEX('2023 IP UPL Data'!K:K,MATCH(A43,'2023 IP UPL Data'!B:B,0)),0)</f>
        <v>0</v>
      </c>
    </row>
    <row r="44" spans="1:59">
      <c r="A44" s="124" t="s">
        <v>698</v>
      </c>
      <c r="B44" s="31" t="s">
        <v>698</v>
      </c>
      <c r="C44" s="31" t="s">
        <v>699</v>
      </c>
      <c r="D44" s="180" t="s">
        <v>699</v>
      </c>
      <c r="E44" s="144" t="s">
        <v>2874</v>
      </c>
      <c r="F44" s="44" t="s">
        <v>2768</v>
      </c>
      <c r="G44" s="43" t="s">
        <v>227</v>
      </c>
      <c r="H44" s="43" t="str">
        <f t="shared" si="2"/>
        <v>Rural MRSA West</v>
      </c>
      <c r="I44" s="45">
        <f>INDEX(FeeCalc!M:M,MATCH(C:C,FeeCalc!F:F,0))</f>
        <v>184200.75630607526</v>
      </c>
      <c r="J44" s="45">
        <f>INDEX(FeeCalc!L:L,MATCH(C:C,FeeCalc!F:F,0))</f>
        <v>534452.07400241285</v>
      </c>
      <c r="K44" s="45">
        <f t="shared" si="3"/>
        <v>718652.8303084881</v>
      </c>
      <c r="L44" s="45">
        <f>IFERROR(IFERROR(INDEX('2023 IP UPL Data'!N:N,MATCH(A:A,'2023 IP UPL Data'!B:B,0)),INDEX('2023 IMD UPL Data'!M:M,MATCH(A:A,'2023 IMD UPL Data'!B:B,0))),0)</f>
        <v>-24591.990859119731</v>
      </c>
      <c r="M44" s="45">
        <f>IFERROR((IF(F44="IMD",0,INDEX('2023 OP UPL Data'!M:M,MATCH(A:A,'2023 OP UPL Data'!B:B,0)))),0)</f>
        <v>-31496.253999999957</v>
      </c>
      <c r="N44" s="45">
        <f t="shared" si="4"/>
        <v>-56088.244859119688</v>
      </c>
      <c r="O44" s="45">
        <v>-5894.2065631255755</v>
      </c>
      <c r="P44" s="45">
        <v>398075.32986028068</v>
      </c>
      <c r="Q44" s="45">
        <f t="shared" si="5"/>
        <v>392181.12329715508</v>
      </c>
      <c r="R44" s="45" t="str">
        <f t="shared" si="6"/>
        <v>No</v>
      </c>
      <c r="S44" s="46" t="str">
        <f t="shared" si="7"/>
        <v>Yes</v>
      </c>
      <c r="T44" s="47">
        <f>ROUND(INDEX(Summary!H:H,MATCH(H:H,Summary!A:A,0)),2)</f>
        <v>0</v>
      </c>
      <c r="U44" s="47">
        <f>ROUND(INDEX(Summary!I:I,MATCH(H:H,Summary!A:A,0)),2)</f>
        <v>0.28999999999999998</v>
      </c>
      <c r="V44" s="85">
        <f t="shared" si="8"/>
        <v>0</v>
      </c>
      <c r="W44" s="85">
        <f t="shared" si="9"/>
        <v>154991.10146069972</v>
      </c>
      <c r="X44" s="45">
        <f t="shared" si="10"/>
        <v>154991.10146069972</v>
      </c>
      <c r="Y44" s="45" t="s">
        <v>3223</v>
      </c>
      <c r="Z44" s="45" t="str">
        <f t="shared" si="11"/>
        <v>No</v>
      </c>
      <c r="AA44" s="45" t="str">
        <f t="shared" si="12"/>
        <v>Yes</v>
      </c>
      <c r="AB44" s="45" t="str">
        <f t="shared" si="13"/>
        <v>Yes</v>
      </c>
      <c r="AC44" s="86">
        <f t="shared" si="31"/>
        <v>0</v>
      </c>
      <c r="AD44" s="86">
        <f t="shared" si="32"/>
        <v>0.32</v>
      </c>
      <c r="AE44" s="45">
        <f t="shared" si="33"/>
        <v>0</v>
      </c>
      <c r="AF44" s="45">
        <f t="shared" si="14"/>
        <v>171024.66368077212</v>
      </c>
      <c r="AG44" s="45">
        <f t="shared" si="15"/>
        <v>171024.66368077212</v>
      </c>
      <c r="AH44" s="47">
        <f>IF(Y44="No",0,IFERROR(ROUNDDOWN(INDEX('90% of ACR'!K:K,MATCH(H:H,'90% of ACR'!A:A,0))*IF(I44&gt;0,IF(O44&gt;0,$R$4*MAX(O44-V44,0),0),0)/I44,2),0))</f>
        <v>0</v>
      </c>
      <c r="AI44" s="86">
        <f>IF(Y44="No",0,IFERROR(ROUNDDOWN(INDEX('90% of ACR'!R:R,MATCH(H:H,'90% of ACR'!A:A,0))*IF(J44&gt;0,IF(P44&gt;0,$R$4*MAX(P44-W44,0),0),0)/J44,2),0))</f>
        <v>0.31</v>
      </c>
      <c r="AJ44" s="45">
        <f t="shared" si="16"/>
        <v>0</v>
      </c>
      <c r="AK44" s="45">
        <f t="shared" si="17"/>
        <v>165680.14294074799</v>
      </c>
      <c r="AL44" s="47">
        <f t="shared" si="18"/>
        <v>0</v>
      </c>
      <c r="AM44" s="47">
        <f t="shared" si="19"/>
        <v>0.6</v>
      </c>
      <c r="AN44" s="87">
        <f>IFERROR(INDEX(FeeCalc!P:P,MATCH(C44,FeeCalc!F:F,0)),0)</f>
        <v>320671.24440144771</v>
      </c>
      <c r="AO44" s="87">
        <f>IFERROR(INDEX(FeeCalc!S:S,MATCH(C44,FeeCalc!F:F,0)),0)</f>
        <v>19753.500842694888</v>
      </c>
      <c r="AP44" s="87">
        <f t="shared" si="20"/>
        <v>340424.7452441426</v>
      </c>
      <c r="AQ44" s="72">
        <f t="shared" si="21"/>
        <v>144453.11299893752</v>
      </c>
      <c r="AR44" s="72">
        <f t="shared" si="22"/>
        <v>72226.556499468759</v>
      </c>
      <c r="AS44" s="72">
        <f t="shared" si="23"/>
        <v>72226.556499468759</v>
      </c>
      <c r="AT44" s="72">
        <f>IFERROR(IFERROR(INDEX('2023 IP UPL Data'!L:L,MATCH(A:A,'2023 IP UPL Data'!B:B,0)),INDEX('2023 IMD UPL Data'!I:I,MATCH(A:A,'2023 IMD UPL Data'!B:B,0))),0)</f>
        <v>38644.560859119731</v>
      </c>
      <c r="AU44" s="72">
        <f>IFERROR(IF(F42="IMD",0,INDEX('2023 OP UPL Data'!J:J,MATCH(A:A,'2023 OP UPL Data'!B:B,0))),0)</f>
        <v>242074.19399999996</v>
      </c>
      <c r="AV44" s="45">
        <f t="shared" si="24"/>
        <v>280718.75485911971</v>
      </c>
      <c r="AW44" s="72">
        <f>IFERROR(IFERROR(INDEX('2023 IP UPL Data'!M:M,MATCH(A:A,'2023 IP UPL Data'!B:B,0)),INDEX('2023 IMD UPL Data'!K:K,MATCH(A:A,'2023 IMD UPL Data'!B:B,0))),0)</f>
        <v>14052.57</v>
      </c>
      <c r="AX44" s="72">
        <f>IFERROR(IF(F42="IMD",0,INDEX('2023 OP UPL Data'!L:L,MATCH(A:A,'2023 OP UPL Data'!B:B,0))),0)</f>
        <v>210577.94</v>
      </c>
      <c r="AY44" s="45">
        <f t="shared" si="25"/>
        <v>224630.51</v>
      </c>
      <c r="AZ44" s="72">
        <v>32750.354295994155</v>
      </c>
      <c r="BA44" s="72">
        <v>640149.52386028063</v>
      </c>
      <c r="BB44" s="72">
        <f t="shared" si="26"/>
        <v>32750.354295994155</v>
      </c>
      <c r="BC44" s="72">
        <f t="shared" si="27"/>
        <v>485158.42239958094</v>
      </c>
      <c r="BD44" s="72">
        <f t="shared" si="28"/>
        <v>517908.7766955751</v>
      </c>
      <c r="BE44" s="94">
        <f t="shared" si="29"/>
        <v>18697.784295994155</v>
      </c>
      <c r="BF44" s="94">
        <f t="shared" si="30"/>
        <v>429571.58386028063</v>
      </c>
      <c r="BG44" s="73">
        <f>IFERROR(INDEX('2023 IP UPL Data'!K:K,MATCH(A44,'2023 IP UPL Data'!B:B,0)),0)</f>
        <v>0</v>
      </c>
    </row>
    <row r="45" spans="1:59">
      <c r="A45" s="124" t="s">
        <v>1427</v>
      </c>
      <c r="B45" s="31" t="s">
        <v>1427</v>
      </c>
      <c r="C45" s="31" t="s">
        <v>1428</v>
      </c>
      <c r="D45" s="180" t="s">
        <v>1428</v>
      </c>
      <c r="E45" s="144" t="s">
        <v>3123</v>
      </c>
      <c r="F45" s="44" t="s">
        <v>2718</v>
      </c>
      <c r="G45" s="43" t="s">
        <v>227</v>
      </c>
      <c r="H45" s="43" t="str">
        <f t="shared" si="2"/>
        <v>Urban MRSA West</v>
      </c>
      <c r="I45" s="45">
        <f>INDEX(FeeCalc!M:M,MATCH(C:C,FeeCalc!F:F,0))</f>
        <v>580549.20098773192</v>
      </c>
      <c r="J45" s="45">
        <f>INDEX(FeeCalc!L:L,MATCH(C:C,FeeCalc!F:F,0))</f>
        <v>0</v>
      </c>
      <c r="K45" s="45">
        <f t="shared" si="3"/>
        <v>580549.20098773192</v>
      </c>
      <c r="L45" s="45">
        <f>IFERROR(IFERROR(INDEX('2023 IP UPL Data'!N:N,MATCH(A:A,'2023 IP UPL Data'!B:B,0)),INDEX('2023 IMD UPL Data'!M:M,MATCH(A:A,'2023 IMD UPL Data'!B:B,0))),0)</f>
        <v>498407.02</v>
      </c>
      <c r="M45" s="45">
        <f>IFERROR((IF(F45="IMD",0,INDEX('2023 OP UPL Data'!M:M,MATCH(A:A,'2023 OP UPL Data'!B:B,0)))),0)</f>
        <v>0</v>
      </c>
      <c r="N45" s="45">
        <f t="shared" si="4"/>
        <v>498407.02</v>
      </c>
      <c r="O45" s="45">
        <v>126510.03520941781</v>
      </c>
      <c r="P45" s="45">
        <v>0</v>
      </c>
      <c r="Q45" s="45">
        <f t="shared" si="5"/>
        <v>126510.03520941781</v>
      </c>
      <c r="R45" s="45" t="str">
        <f t="shared" si="6"/>
        <v>Yes</v>
      </c>
      <c r="S45" s="46" t="str">
        <f t="shared" si="7"/>
        <v>No</v>
      </c>
      <c r="T45" s="47">
        <f>ROUND(INDEX(Summary!H:H,MATCH(H:H,Summary!A:A,0)),2)</f>
        <v>0.43</v>
      </c>
      <c r="U45" s="47">
        <f>ROUND(INDEX(Summary!I:I,MATCH(H:H,Summary!A:A,0)),2)</f>
        <v>1.18</v>
      </c>
      <c r="V45" s="85">
        <f t="shared" si="8"/>
        <v>249636.15642472473</v>
      </c>
      <c r="W45" s="85">
        <f t="shared" si="9"/>
        <v>0</v>
      </c>
      <c r="X45" s="45">
        <f t="shared" si="10"/>
        <v>249636.15642472473</v>
      </c>
      <c r="Y45" s="45" t="s">
        <v>3223</v>
      </c>
      <c r="Z45" s="45" t="str">
        <f t="shared" si="11"/>
        <v>No</v>
      </c>
      <c r="AA45" s="45" t="str">
        <f t="shared" si="12"/>
        <v>No</v>
      </c>
      <c r="AB45" s="45" t="str">
        <f t="shared" si="13"/>
        <v>No</v>
      </c>
      <c r="AC45" s="86">
        <f t="shared" si="31"/>
        <v>0</v>
      </c>
      <c r="AD45" s="86">
        <f t="shared" si="32"/>
        <v>0</v>
      </c>
      <c r="AE45" s="45">
        <f t="shared" si="33"/>
        <v>0</v>
      </c>
      <c r="AF45" s="45">
        <f t="shared" si="14"/>
        <v>0</v>
      </c>
      <c r="AG45" s="45">
        <f t="shared" si="15"/>
        <v>0</v>
      </c>
      <c r="AH45" s="47">
        <f>IF(Y45="No",0,IFERROR(ROUNDDOWN(INDEX('90% of ACR'!K:K,MATCH(H:H,'90% of ACR'!A:A,0))*IF(I45&gt;0,IF(O45&gt;0,$R$4*MAX(O45-V45,0),0),0)/I45,2),0))</f>
        <v>0</v>
      </c>
      <c r="AI45" s="86">
        <f>IF(Y45="No",0,IFERROR(ROUNDDOWN(INDEX('90% of ACR'!R:R,MATCH(H:H,'90% of ACR'!A:A,0))*IF(J45&gt;0,IF(P45&gt;0,$R$4*MAX(P45-W45,0),0),0)/J45,2),0))</f>
        <v>0</v>
      </c>
      <c r="AJ45" s="45">
        <f t="shared" si="16"/>
        <v>0</v>
      </c>
      <c r="AK45" s="45">
        <f t="shared" si="17"/>
        <v>0</v>
      </c>
      <c r="AL45" s="47">
        <f t="shared" si="18"/>
        <v>0.43</v>
      </c>
      <c r="AM45" s="47">
        <f t="shared" si="19"/>
        <v>1.18</v>
      </c>
      <c r="AN45" s="87">
        <f>IFERROR(INDEX(FeeCalc!P:P,MATCH(C45,FeeCalc!F:F,0)),0)</f>
        <v>249636.15642472473</v>
      </c>
      <c r="AO45" s="87">
        <f>IFERROR(INDEX(FeeCalc!S:S,MATCH(C45,FeeCalc!F:F,0)),0)</f>
        <v>15797.658171476744</v>
      </c>
      <c r="AP45" s="87">
        <f t="shared" si="20"/>
        <v>265433.81459620147</v>
      </c>
      <c r="AQ45" s="72">
        <f t="shared" si="21"/>
        <v>112632.06141523538</v>
      </c>
      <c r="AR45" s="72">
        <f t="shared" si="22"/>
        <v>56316.03070761769</v>
      </c>
      <c r="AS45" s="72">
        <f t="shared" si="23"/>
        <v>56316.03070761769</v>
      </c>
      <c r="AT45" s="72">
        <f>IFERROR(IFERROR(INDEX('2023 IP UPL Data'!L:L,MATCH(A:A,'2023 IP UPL Data'!B:B,0)),INDEX('2023 IMD UPL Data'!I:I,MATCH(A:A,'2023 IMD UPL Data'!B:B,0))),0)</f>
        <v>453050</v>
      </c>
      <c r="AU45" s="72">
        <f>IFERROR(IF(F43="IMD",0,INDEX('2023 OP UPL Data'!J:J,MATCH(A:A,'2023 OP UPL Data'!B:B,0))),0)</f>
        <v>0</v>
      </c>
      <c r="AV45" s="45">
        <f t="shared" si="24"/>
        <v>453050</v>
      </c>
      <c r="AW45" s="72">
        <f>IFERROR(IFERROR(INDEX('2023 IP UPL Data'!M:M,MATCH(A:A,'2023 IP UPL Data'!B:B,0)),INDEX('2023 IMD UPL Data'!K:K,MATCH(A:A,'2023 IMD UPL Data'!B:B,0))),0)</f>
        <v>951457.02</v>
      </c>
      <c r="AX45" s="72">
        <f>IFERROR(IF(F43="IMD",0,INDEX('2023 OP UPL Data'!L:L,MATCH(A:A,'2023 OP UPL Data'!B:B,0))),0)</f>
        <v>0</v>
      </c>
      <c r="AY45" s="45">
        <f t="shared" si="25"/>
        <v>951457.02</v>
      </c>
      <c r="AZ45" s="72">
        <v>579560.03520941781</v>
      </c>
      <c r="BA45" s="72">
        <v>0</v>
      </c>
      <c r="BB45" s="72">
        <f t="shared" si="26"/>
        <v>329923.87878469308</v>
      </c>
      <c r="BC45" s="72">
        <f t="shared" si="27"/>
        <v>0</v>
      </c>
      <c r="BD45" s="72">
        <f t="shared" si="28"/>
        <v>329923.87878469308</v>
      </c>
      <c r="BE45" s="94">
        <f t="shared" si="29"/>
        <v>0</v>
      </c>
      <c r="BF45" s="94">
        <f t="shared" si="30"/>
        <v>0</v>
      </c>
      <c r="BG45" s="73">
        <f>IFERROR(INDEX('2023 IP UPL Data'!K:K,MATCH(A45,'2023 IP UPL Data'!B:B,0)),0)</f>
        <v>0</v>
      </c>
    </row>
    <row r="46" spans="1:59">
      <c r="A46" s="124" t="s">
        <v>1461</v>
      </c>
      <c r="B46" s="31" t="s">
        <v>1461</v>
      </c>
      <c r="C46" s="31" t="s">
        <v>1462</v>
      </c>
      <c r="D46" s="180" t="s">
        <v>1462</v>
      </c>
      <c r="E46" s="144" t="s">
        <v>3134</v>
      </c>
      <c r="F46" s="44" t="s">
        <v>2718</v>
      </c>
      <c r="G46" s="43" t="s">
        <v>310</v>
      </c>
      <c r="H46" s="43" t="str">
        <f t="shared" si="2"/>
        <v>Urban MRSA Northeast</v>
      </c>
      <c r="I46" s="45">
        <f>INDEX(FeeCalc!M:M,MATCH(C:C,FeeCalc!F:F,0))</f>
        <v>4693.0774788562276</v>
      </c>
      <c r="J46" s="45">
        <f>INDEX(FeeCalc!L:L,MATCH(C:C,FeeCalc!F:F,0))</f>
        <v>0</v>
      </c>
      <c r="K46" s="45">
        <f t="shared" si="3"/>
        <v>4693.0774788562276</v>
      </c>
      <c r="L46" s="45">
        <f>IFERROR(IFERROR(INDEX('2023 IP UPL Data'!N:N,MATCH(A:A,'2023 IP UPL Data'!B:B,0)),INDEX('2023 IMD UPL Data'!M:M,MATCH(A:A,'2023 IMD UPL Data'!B:B,0))),0)</f>
        <v>0</v>
      </c>
      <c r="M46" s="45">
        <f>IFERROR((IF(F46="IMD",0,INDEX('2023 OP UPL Data'!M:M,MATCH(A:A,'2023 OP UPL Data'!B:B,0)))),0)</f>
        <v>0</v>
      </c>
      <c r="N46" s="45">
        <f t="shared" si="4"/>
        <v>0</v>
      </c>
      <c r="O46" s="45">
        <v>0</v>
      </c>
      <c r="P46" s="45">
        <v>0</v>
      </c>
      <c r="Q46" s="45">
        <f t="shared" si="5"/>
        <v>0</v>
      </c>
      <c r="R46" s="45" t="str">
        <f t="shared" si="6"/>
        <v>No</v>
      </c>
      <c r="S46" s="46" t="str">
        <f t="shared" si="7"/>
        <v>No</v>
      </c>
      <c r="T46" s="47">
        <f>ROUND(INDEX(Summary!H:H,MATCH(H:H,Summary!A:A,0)),2)</f>
        <v>0.79</v>
      </c>
      <c r="U46" s="47">
        <f>ROUND(INDEX(Summary!I:I,MATCH(H:H,Summary!A:A,0)),2)</f>
        <v>1.2</v>
      </c>
      <c r="V46" s="85">
        <f t="shared" si="8"/>
        <v>3707.5312082964201</v>
      </c>
      <c r="W46" s="85">
        <f t="shared" si="9"/>
        <v>0</v>
      </c>
      <c r="X46" s="45">
        <f t="shared" si="10"/>
        <v>3707.5312082964201</v>
      </c>
      <c r="Y46" s="45" t="s">
        <v>3223</v>
      </c>
      <c r="Z46" s="45" t="str">
        <f t="shared" si="11"/>
        <v>No</v>
      </c>
      <c r="AA46" s="45" t="str">
        <f t="shared" si="12"/>
        <v>No</v>
      </c>
      <c r="AB46" s="45" t="str">
        <f t="shared" si="13"/>
        <v>No</v>
      </c>
      <c r="AC46" s="86">
        <f t="shared" si="31"/>
        <v>0</v>
      </c>
      <c r="AD46" s="86">
        <f t="shared" si="32"/>
        <v>0</v>
      </c>
      <c r="AE46" s="45">
        <f t="shared" si="33"/>
        <v>0</v>
      </c>
      <c r="AF46" s="45">
        <f t="shared" si="14"/>
        <v>0</v>
      </c>
      <c r="AG46" s="45">
        <f t="shared" si="15"/>
        <v>0</v>
      </c>
      <c r="AH46" s="47">
        <f>IF(Y46="No",0,IFERROR(ROUNDDOWN(INDEX('90% of ACR'!K:K,MATCH(H:H,'90% of ACR'!A:A,0))*IF(I46&gt;0,IF(O46&gt;0,$R$4*MAX(O46-V46,0),0),0)/I46,2),0))</f>
        <v>0</v>
      </c>
      <c r="AI46" s="86">
        <f>IF(Y46="No",0,IFERROR(ROUNDDOWN(INDEX('90% of ACR'!R:R,MATCH(H:H,'90% of ACR'!A:A,0))*IF(J46&gt;0,IF(P46&gt;0,$R$4*MAX(P46-W46,0),0),0)/J46,2),0))</f>
        <v>0</v>
      </c>
      <c r="AJ46" s="45">
        <f t="shared" si="16"/>
        <v>0</v>
      </c>
      <c r="AK46" s="45">
        <f t="shared" si="17"/>
        <v>0</v>
      </c>
      <c r="AL46" s="47">
        <f t="shared" si="18"/>
        <v>0.79</v>
      </c>
      <c r="AM46" s="47">
        <f t="shared" si="19"/>
        <v>1.2</v>
      </c>
      <c r="AN46" s="87">
        <f>IFERROR(INDEX(FeeCalc!P:P,MATCH(C46,FeeCalc!F:F,0)),0)</f>
        <v>3707.5312082964201</v>
      </c>
      <c r="AO46" s="87">
        <f>IFERROR(INDEX(FeeCalc!S:S,MATCH(C46,FeeCalc!F:F,0)),0)</f>
        <v>226.18890660694342</v>
      </c>
      <c r="AP46" s="87">
        <f t="shared" si="20"/>
        <v>3933.7201149033635</v>
      </c>
      <c r="AQ46" s="72">
        <f t="shared" si="21"/>
        <v>1669.2033237971741</v>
      </c>
      <c r="AR46" s="72">
        <f t="shared" si="22"/>
        <v>834.60166189858705</v>
      </c>
      <c r="AS46" s="72">
        <f t="shared" si="23"/>
        <v>834.60166189858705</v>
      </c>
      <c r="AT46" s="72">
        <f>IFERROR(IFERROR(INDEX('2023 IP UPL Data'!L:L,MATCH(A:A,'2023 IP UPL Data'!B:B,0)),INDEX('2023 IMD UPL Data'!I:I,MATCH(A:A,'2023 IMD UPL Data'!B:B,0))),0)</f>
        <v>0</v>
      </c>
      <c r="AU46" s="72">
        <f>IFERROR(IF(F44="IMD",0,INDEX('2023 OP UPL Data'!J:J,MATCH(A:A,'2023 OP UPL Data'!B:B,0))),0)</f>
        <v>0</v>
      </c>
      <c r="AV46" s="45">
        <f t="shared" si="24"/>
        <v>0</v>
      </c>
      <c r="AW46" s="72">
        <f>IFERROR(IFERROR(INDEX('2023 IP UPL Data'!M:M,MATCH(A:A,'2023 IP UPL Data'!B:B,0)),INDEX('2023 IMD UPL Data'!K:K,MATCH(A:A,'2023 IMD UPL Data'!B:B,0))),0)</f>
        <v>0</v>
      </c>
      <c r="AX46" s="72">
        <f>IFERROR(IF(F44="IMD",0,INDEX('2023 OP UPL Data'!L:L,MATCH(A:A,'2023 OP UPL Data'!B:B,0))),0)</f>
        <v>0</v>
      </c>
      <c r="AY46" s="45">
        <f t="shared" si="25"/>
        <v>0</v>
      </c>
      <c r="AZ46" s="72">
        <v>0</v>
      </c>
      <c r="BA46" s="72">
        <v>0</v>
      </c>
      <c r="BB46" s="72">
        <f t="shared" si="26"/>
        <v>0</v>
      </c>
      <c r="BC46" s="72">
        <f t="shared" si="27"/>
        <v>0</v>
      </c>
      <c r="BD46" s="72">
        <f t="shared" si="28"/>
        <v>0</v>
      </c>
      <c r="BE46" s="94">
        <f t="shared" si="29"/>
        <v>0</v>
      </c>
      <c r="BF46" s="94">
        <f t="shared" si="30"/>
        <v>0</v>
      </c>
      <c r="BG46" s="73">
        <f>IFERROR(INDEX('2023 IP UPL Data'!K:K,MATCH(A46,'2023 IP UPL Data'!B:B,0)),0)</f>
        <v>0</v>
      </c>
    </row>
    <row r="47" spans="1:59" ht="23.25">
      <c r="A47" s="124" t="s">
        <v>1304</v>
      </c>
      <c r="B47" s="31" t="s">
        <v>1304</v>
      </c>
      <c r="C47" s="31" t="s">
        <v>1305</v>
      </c>
      <c r="D47" s="180" t="s">
        <v>1305</v>
      </c>
      <c r="E47" s="144" t="s">
        <v>3314</v>
      </c>
      <c r="F47" s="44" t="s">
        <v>3069</v>
      </c>
      <c r="G47" s="43" t="s">
        <v>1202</v>
      </c>
      <c r="H47" s="43" t="str">
        <f t="shared" si="2"/>
        <v>Non-state-owned IMD Travis</v>
      </c>
      <c r="I47" s="45">
        <f>INDEX(FeeCalc!M:M,MATCH(C:C,FeeCalc!F:F,0))</f>
        <v>287656.94654993247</v>
      </c>
      <c r="J47" s="45">
        <f>INDEX(FeeCalc!L:L,MATCH(C:C,FeeCalc!F:F,0))</f>
        <v>0</v>
      </c>
      <c r="K47" s="45">
        <f t="shared" si="3"/>
        <v>287656.94654993247</v>
      </c>
      <c r="L47" s="45">
        <f>IFERROR(IFERROR(INDEX('2023 IP UPL Data'!N:N,MATCH(A:A,'2023 IP UPL Data'!B:B,0)),INDEX('2023 IMD UPL Data'!M:M,MATCH(A:A,'2023 IMD UPL Data'!B:B,0))),0)</f>
        <v>262281.09999999998</v>
      </c>
      <c r="M47" s="45">
        <f>IFERROR((IF(F47="IMD",0,INDEX('2023 OP UPL Data'!M:M,MATCH(A:A,'2023 OP UPL Data'!B:B,0)))),0)</f>
        <v>0</v>
      </c>
      <c r="N47" s="45">
        <f t="shared" si="4"/>
        <v>262281.09999999998</v>
      </c>
      <c r="O47" s="45">
        <v>721198.53558585129</v>
      </c>
      <c r="P47" s="45">
        <v>0</v>
      </c>
      <c r="Q47" s="45">
        <f t="shared" si="5"/>
        <v>721198.53558585129</v>
      </c>
      <c r="R47" s="45" t="str">
        <f t="shared" si="6"/>
        <v>Yes</v>
      </c>
      <c r="S47" s="46" t="str">
        <f t="shared" si="7"/>
        <v>No</v>
      </c>
      <c r="T47" s="47">
        <f>ROUND(INDEX(Summary!H:H,MATCH(H:H,Summary!A:A,0)),2)</f>
        <v>0.63</v>
      </c>
      <c r="U47" s="47">
        <f>ROUND(INDEX(Summary!I:I,MATCH(H:H,Summary!A:A,0)),2)</f>
        <v>0</v>
      </c>
      <c r="V47" s="85">
        <f t="shared" si="8"/>
        <v>181223.87632645745</v>
      </c>
      <c r="W47" s="85">
        <f t="shared" si="9"/>
        <v>0</v>
      </c>
      <c r="X47" s="45">
        <f t="shared" si="10"/>
        <v>181223.87632645745</v>
      </c>
      <c r="Y47" s="45" t="s">
        <v>3223</v>
      </c>
      <c r="Z47" s="45" t="str">
        <f t="shared" si="11"/>
        <v>No</v>
      </c>
      <c r="AA47" s="45" t="str">
        <f t="shared" si="12"/>
        <v>No</v>
      </c>
      <c r="AB47" s="45" t="str">
        <f t="shared" si="13"/>
        <v>Yes</v>
      </c>
      <c r="AC47" s="86">
        <f t="shared" si="31"/>
        <v>1.31</v>
      </c>
      <c r="AD47" s="86">
        <f t="shared" si="32"/>
        <v>0</v>
      </c>
      <c r="AE47" s="45">
        <f t="shared" si="33"/>
        <v>376830.59998041153</v>
      </c>
      <c r="AF47" s="45">
        <f t="shared" si="14"/>
        <v>0</v>
      </c>
      <c r="AG47" s="45">
        <f t="shared" si="15"/>
        <v>376830.59998041153</v>
      </c>
      <c r="AH47" s="47">
        <f>IF(Y47="No",0,IFERROR(ROUNDDOWN(INDEX('90% of ACR'!K:K,MATCH(H:H,'90% of ACR'!A:A,0))*IF(I47&gt;0,IF(O47&gt;0,$R$4*MAX(O47-V47,0),0),0)/I47,2),0))</f>
        <v>0</v>
      </c>
      <c r="AI47" s="86">
        <f>IF(Y47="No",0,IFERROR(ROUNDDOWN(INDEX('90% of ACR'!R:R,MATCH(H:H,'90% of ACR'!A:A,0))*IF(J47&gt;0,IF(P47&gt;0,$R$4*MAX(P47-W47,0),0),0)/J47,2),0))</f>
        <v>0</v>
      </c>
      <c r="AJ47" s="45">
        <f t="shared" si="16"/>
        <v>0</v>
      </c>
      <c r="AK47" s="45">
        <f t="shared" si="17"/>
        <v>0</v>
      </c>
      <c r="AL47" s="47">
        <f t="shared" si="18"/>
        <v>0.63</v>
      </c>
      <c r="AM47" s="47">
        <f t="shared" si="19"/>
        <v>0</v>
      </c>
      <c r="AN47" s="87">
        <f>IFERROR(INDEX(FeeCalc!P:P,MATCH(C47,FeeCalc!F:F,0)),0)</f>
        <v>181223.87632645745</v>
      </c>
      <c r="AO47" s="87">
        <f>IFERROR(INDEX(FeeCalc!S:S,MATCH(C47,FeeCalc!F:F,0)),0)</f>
        <v>11056.098555725523</v>
      </c>
      <c r="AP47" s="87">
        <f t="shared" si="20"/>
        <v>192279.97488218299</v>
      </c>
      <c r="AQ47" s="72">
        <f t="shared" si="21"/>
        <v>81590.546301706476</v>
      </c>
      <c r="AR47" s="72">
        <f t="shared" si="22"/>
        <v>40795.273150853238</v>
      </c>
      <c r="AS47" s="72">
        <f t="shared" si="23"/>
        <v>40795.273150853238</v>
      </c>
      <c r="AT47" s="72">
        <f>IFERROR(IFERROR(INDEX('2023 IP UPL Data'!L:L,MATCH(A:A,'2023 IP UPL Data'!B:B,0)),INDEX('2023 IMD UPL Data'!I:I,MATCH(A:A,'2023 IMD UPL Data'!B:B,0))),0)</f>
        <v>799194.14</v>
      </c>
      <c r="AU47" s="72">
        <f>IFERROR(IF(F45="IMD",0,INDEX('2023 OP UPL Data'!J:J,MATCH(A:A,'2023 OP UPL Data'!B:B,0))),0)</f>
        <v>0</v>
      </c>
      <c r="AV47" s="45">
        <f t="shared" si="24"/>
        <v>799194.14</v>
      </c>
      <c r="AW47" s="72">
        <f>IFERROR(IFERROR(INDEX('2023 IP UPL Data'!M:M,MATCH(A:A,'2023 IP UPL Data'!B:B,0)),INDEX('2023 IMD UPL Data'!K:K,MATCH(A:A,'2023 IMD UPL Data'!B:B,0))),0)</f>
        <v>262281.09999999998</v>
      </c>
      <c r="AX47" s="72">
        <f>IFERROR(IF(F45="IMD",0,INDEX('2023 OP UPL Data'!L:L,MATCH(A:A,'2023 OP UPL Data'!B:B,0))),0)</f>
        <v>0</v>
      </c>
      <c r="AY47" s="45">
        <f t="shared" si="25"/>
        <v>262281.09999999998</v>
      </c>
      <c r="AZ47" s="72">
        <v>1520392.6755858513</v>
      </c>
      <c r="BA47" s="72">
        <v>0</v>
      </c>
      <c r="BB47" s="72">
        <f t="shared" si="26"/>
        <v>1339168.7992593939</v>
      </c>
      <c r="BC47" s="72">
        <f t="shared" si="27"/>
        <v>0</v>
      </c>
      <c r="BD47" s="72">
        <f t="shared" si="28"/>
        <v>1339168.7992593939</v>
      </c>
      <c r="BE47" s="94">
        <f t="shared" si="29"/>
        <v>1258111.5755858514</v>
      </c>
      <c r="BF47" s="94">
        <f t="shared" si="30"/>
        <v>0</v>
      </c>
      <c r="BG47" s="73">
        <f>IFERROR(INDEX('2023 IP UPL Data'!K:K,MATCH(A47,'2023 IP UPL Data'!B:B,0)),0)</f>
        <v>0</v>
      </c>
    </row>
    <row r="48" spans="1:59">
      <c r="A48" s="124" t="s">
        <v>844</v>
      </c>
      <c r="B48" s="31" t="s">
        <v>844</v>
      </c>
      <c r="C48" s="31" t="s">
        <v>845</v>
      </c>
      <c r="D48" s="180" t="s">
        <v>845</v>
      </c>
      <c r="E48" s="144" t="s">
        <v>3448</v>
      </c>
      <c r="F48" s="44" t="s">
        <v>2768</v>
      </c>
      <c r="G48" s="43" t="s">
        <v>227</v>
      </c>
      <c r="H48" s="43" t="str">
        <f t="shared" si="2"/>
        <v>Rural MRSA West</v>
      </c>
      <c r="I48" s="45">
        <f>INDEX(FeeCalc!M:M,MATCH(C:C,FeeCalc!F:F,0))</f>
        <v>1405046.449271495</v>
      </c>
      <c r="J48" s="45">
        <f>INDEX(FeeCalc!L:L,MATCH(C:C,FeeCalc!F:F,0))</f>
        <v>943864.43473647279</v>
      </c>
      <c r="K48" s="45">
        <f t="shared" si="3"/>
        <v>2348910.884007968</v>
      </c>
      <c r="L48" s="45">
        <f>IFERROR(IFERROR(INDEX('2023 IP UPL Data'!N:N,MATCH(A:A,'2023 IP UPL Data'!B:B,0)),INDEX('2023 IMD UPL Data'!M:M,MATCH(A:A,'2023 IMD UPL Data'!B:B,0))),0)</f>
        <v>223144.56366529362</v>
      </c>
      <c r="M48" s="45">
        <f>IFERROR((IF(F48="IMD",0,INDEX('2023 OP UPL Data'!M:M,MATCH(A:A,'2023 OP UPL Data'!B:B,0)))),0)</f>
        <v>300139.86725000013</v>
      </c>
      <c r="N48" s="45">
        <f t="shared" si="4"/>
        <v>523284.43091529375</v>
      </c>
      <c r="O48" s="45">
        <v>-458580.44716672751</v>
      </c>
      <c r="P48" s="45">
        <v>439749.90411821427</v>
      </c>
      <c r="Q48" s="45">
        <f t="shared" si="5"/>
        <v>-18830.543048513238</v>
      </c>
      <c r="R48" s="45" t="str">
        <f t="shared" si="6"/>
        <v>No</v>
      </c>
      <c r="S48" s="46" t="str">
        <f t="shared" si="7"/>
        <v>Yes</v>
      </c>
      <c r="T48" s="47">
        <f>ROUND(INDEX(Summary!H:H,MATCH(H:H,Summary!A:A,0)),2)</f>
        <v>0</v>
      </c>
      <c r="U48" s="47">
        <f>ROUND(INDEX(Summary!I:I,MATCH(H:H,Summary!A:A,0)),2)</f>
        <v>0.28999999999999998</v>
      </c>
      <c r="V48" s="85">
        <f t="shared" si="8"/>
        <v>0</v>
      </c>
      <c r="W48" s="85">
        <f t="shared" si="9"/>
        <v>273720.68607357709</v>
      </c>
      <c r="X48" s="45">
        <f t="shared" si="10"/>
        <v>273720.68607357709</v>
      </c>
      <c r="Y48" s="45" t="s">
        <v>3223</v>
      </c>
      <c r="Z48" s="45" t="str">
        <f t="shared" si="11"/>
        <v>No</v>
      </c>
      <c r="AA48" s="45" t="str">
        <f t="shared" si="12"/>
        <v>Yes</v>
      </c>
      <c r="AB48" s="45" t="str">
        <f t="shared" si="13"/>
        <v>Yes</v>
      </c>
      <c r="AC48" s="86">
        <f t="shared" si="31"/>
        <v>0</v>
      </c>
      <c r="AD48" s="86">
        <f t="shared" si="32"/>
        <v>0.12</v>
      </c>
      <c r="AE48" s="45">
        <f t="shared" si="33"/>
        <v>0</v>
      </c>
      <c r="AF48" s="45">
        <f t="shared" si="14"/>
        <v>113263.73216837674</v>
      </c>
      <c r="AG48" s="45">
        <f t="shared" si="15"/>
        <v>113263.73216837674</v>
      </c>
      <c r="AH48" s="47">
        <f>IF(Y48="No",0,IFERROR(ROUNDDOWN(INDEX('90% of ACR'!K:K,MATCH(H:H,'90% of ACR'!A:A,0))*IF(I48&gt;0,IF(O48&gt;0,$R$4*MAX(O48-V48,0),0),0)/I48,2),0))</f>
        <v>0</v>
      </c>
      <c r="AI48" s="86">
        <f>IF(Y48="No",0,IFERROR(ROUNDDOWN(INDEX('90% of ACR'!R:R,MATCH(H:H,'90% of ACR'!A:A,0))*IF(J48&gt;0,IF(P48&gt;0,$R$4*MAX(P48-W48,0),0),0)/J48,2),0))</f>
        <v>0.12</v>
      </c>
      <c r="AJ48" s="45">
        <f t="shared" si="16"/>
        <v>0</v>
      </c>
      <c r="AK48" s="45">
        <f t="shared" si="17"/>
        <v>113263.73216837674</v>
      </c>
      <c r="AL48" s="47">
        <f t="shared" si="18"/>
        <v>0</v>
      </c>
      <c r="AM48" s="47">
        <f t="shared" si="19"/>
        <v>0.41</v>
      </c>
      <c r="AN48" s="87">
        <f>IFERROR(INDEX(FeeCalc!P:P,MATCH(C48,FeeCalc!F:F,0)),0)</f>
        <v>386984.41824195383</v>
      </c>
      <c r="AO48" s="87">
        <f>IFERROR(INDEX(FeeCalc!S:S,MATCH(C48,FeeCalc!F:F,0)),0)</f>
        <v>23661.057937530932</v>
      </c>
      <c r="AP48" s="87">
        <f t="shared" si="20"/>
        <v>410645.47617948474</v>
      </c>
      <c r="AQ48" s="72">
        <f t="shared" si="21"/>
        <v>174250.01619819313</v>
      </c>
      <c r="AR48" s="72">
        <f t="shared" si="22"/>
        <v>87125.008099096565</v>
      </c>
      <c r="AS48" s="72">
        <f t="shared" si="23"/>
        <v>87125.008099096565</v>
      </c>
      <c r="AT48" s="72">
        <f>IFERROR(IFERROR(INDEX('2023 IP UPL Data'!L:L,MATCH(A:A,'2023 IP UPL Data'!B:B,0)),INDEX('2023 IMD UPL Data'!I:I,MATCH(A:A,'2023 IMD UPL Data'!B:B,0))),0)</f>
        <v>1144322.9963347064</v>
      </c>
      <c r="AU48" s="72">
        <f>IFERROR(IF(F46="IMD",0,INDEX('2023 OP UPL Data'!J:J,MATCH(A:A,'2023 OP UPL Data'!B:B,0))),0)</f>
        <v>578580.44274999993</v>
      </c>
      <c r="AV48" s="45">
        <f t="shared" si="24"/>
        <v>1722903.4390847064</v>
      </c>
      <c r="AW48" s="72">
        <f>IFERROR(IFERROR(INDEX('2023 IP UPL Data'!M:M,MATCH(A:A,'2023 IP UPL Data'!B:B,0)),INDEX('2023 IMD UPL Data'!K:K,MATCH(A:A,'2023 IMD UPL Data'!B:B,0))),0)</f>
        <v>1367467.56</v>
      </c>
      <c r="AX48" s="72">
        <f>IFERROR(IF(F46="IMD",0,INDEX('2023 OP UPL Data'!L:L,MATCH(A:A,'2023 OP UPL Data'!B:B,0))),0)</f>
        <v>878720.31</v>
      </c>
      <c r="AY48" s="45">
        <f t="shared" si="25"/>
        <v>2246187.87</v>
      </c>
      <c r="AZ48" s="72">
        <v>685742.54916797893</v>
      </c>
      <c r="BA48" s="72">
        <v>1018330.3468682142</v>
      </c>
      <c r="BB48" s="72">
        <f t="shared" si="26"/>
        <v>685742.54916797893</v>
      </c>
      <c r="BC48" s="72">
        <f t="shared" si="27"/>
        <v>744609.66079463717</v>
      </c>
      <c r="BD48" s="72">
        <f t="shared" si="28"/>
        <v>1430352.2099626162</v>
      </c>
      <c r="BE48" s="94">
        <f t="shared" si="29"/>
        <v>0</v>
      </c>
      <c r="BF48" s="94">
        <f t="shared" si="30"/>
        <v>139610.03686821414</v>
      </c>
      <c r="BG48" s="73">
        <f>IFERROR(INDEX('2023 IP UPL Data'!K:K,MATCH(A48,'2023 IP UPL Data'!B:B,0)),0)</f>
        <v>0</v>
      </c>
    </row>
    <row r="49" spans="1:59">
      <c r="A49" s="124" t="s">
        <v>1464</v>
      </c>
      <c r="B49" s="31" t="s">
        <v>1464</v>
      </c>
      <c r="C49" s="31" t="s">
        <v>1465</v>
      </c>
      <c r="D49" s="180" t="s">
        <v>1465</v>
      </c>
      <c r="E49" s="144" t="s">
        <v>3129</v>
      </c>
      <c r="F49" s="44" t="s">
        <v>2718</v>
      </c>
      <c r="G49" s="43" t="s">
        <v>487</v>
      </c>
      <c r="H49" s="43" t="str">
        <f t="shared" si="2"/>
        <v>Urban Bexar</v>
      </c>
      <c r="I49" s="45">
        <f>INDEX(FeeCalc!M:M,MATCH(C:C,FeeCalc!F:F,0))</f>
        <v>872734.42010858806</v>
      </c>
      <c r="J49" s="45">
        <f>INDEX(FeeCalc!L:L,MATCH(C:C,FeeCalc!F:F,0))</f>
        <v>0</v>
      </c>
      <c r="K49" s="45">
        <f t="shared" si="3"/>
        <v>872734.42010858806</v>
      </c>
      <c r="L49" s="45">
        <f>IFERROR(IFERROR(INDEX('2023 IP UPL Data'!N:N,MATCH(A:A,'2023 IP UPL Data'!B:B,0)),INDEX('2023 IMD UPL Data'!M:M,MATCH(A:A,'2023 IMD UPL Data'!B:B,0))),0)</f>
        <v>635527.08582822082</v>
      </c>
      <c r="M49" s="45">
        <f>IFERROR((IF(F49="IMD",0,INDEX('2023 OP UPL Data'!M:M,MATCH(A:A,'2023 OP UPL Data'!B:B,0)))),0)</f>
        <v>0</v>
      </c>
      <c r="N49" s="45">
        <f t="shared" si="4"/>
        <v>635527.08582822082</v>
      </c>
      <c r="O49" s="45">
        <v>151325.2692146831</v>
      </c>
      <c r="P49" s="45">
        <v>0</v>
      </c>
      <c r="Q49" s="45">
        <f t="shared" si="5"/>
        <v>151325.2692146831</v>
      </c>
      <c r="R49" s="45" t="str">
        <f t="shared" si="6"/>
        <v>Yes</v>
      </c>
      <c r="S49" s="46" t="str">
        <f t="shared" si="7"/>
        <v>No</v>
      </c>
      <c r="T49" s="47">
        <f>ROUND(INDEX(Summary!H:H,MATCH(H:H,Summary!A:A,0)),2)</f>
        <v>0.71</v>
      </c>
      <c r="U49" s="47">
        <f>ROUND(INDEX(Summary!I:I,MATCH(H:H,Summary!A:A,0)),2)</f>
        <v>0.67</v>
      </c>
      <c r="V49" s="85">
        <f t="shared" si="8"/>
        <v>619641.43827709754</v>
      </c>
      <c r="W49" s="85">
        <f t="shared" si="9"/>
        <v>0</v>
      </c>
      <c r="X49" s="45">
        <f t="shared" si="10"/>
        <v>619641.43827709754</v>
      </c>
      <c r="Y49" s="45" t="s">
        <v>3223</v>
      </c>
      <c r="Z49" s="45" t="str">
        <f t="shared" si="11"/>
        <v>No</v>
      </c>
      <c r="AA49" s="45" t="str">
        <f t="shared" si="12"/>
        <v>No</v>
      </c>
      <c r="AB49" s="45" t="str">
        <f t="shared" si="13"/>
        <v>No</v>
      </c>
      <c r="AC49" s="86">
        <f t="shared" si="31"/>
        <v>0</v>
      </c>
      <c r="AD49" s="86">
        <f t="shared" si="32"/>
        <v>0</v>
      </c>
      <c r="AE49" s="45">
        <f t="shared" si="33"/>
        <v>0</v>
      </c>
      <c r="AF49" s="45">
        <f t="shared" si="14"/>
        <v>0</v>
      </c>
      <c r="AG49" s="45">
        <f t="shared" si="15"/>
        <v>0</v>
      </c>
      <c r="AH49" s="47">
        <f>IF(Y49="No",0,IFERROR(ROUNDDOWN(INDEX('90% of ACR'!K:K,MATCH(H:H,'90% of ACR'!A:A,0))*IF(I49&gt;0,IF(O49&gt;0,$R$4*MAX(O49-V49,0),0),0)/I49,2),0))</f>
        <v>0</v>
      </c>
      <c r="AI49" s="86">
        <f>IF(Y49="No",0,IFERROR(ROUNDDOWN(INDEX('90% of ACR'!R:R,MATCH(H:H,'90% of ACR'!A:A,0))*IF(J49&gt;0,IF(P49&gt;0,$R$4*MAX(P49-W49,0),0),0)/J49,2),0))</f>
        <v>0</v>
      </c>
      <c r="AJ49" s="45">
        <f t="shared" si="16"/>
        <v>0</v>
      </c>
      <c r="AK49" s="45">
        <f t="shared" si="17"/>
        <v>0</v>
      </c>
      <c r="AL49" s="47">
        <f t="shared" si="18"/>
        <v>0.71</v>
      </c>
      <c r="AM49" s="47">
        <f t="shared" si="19"/>
        <v>0.67</v>
      </c>
      <c r="AN49" s="87">
        <f>IFERROR(INDEX(FeeCalc!P:P,MATCH(C49,FeeCalc!F:F,0)),0)</f>
        <v>619641.43827709754</v>
      </c>
      <c r="AO49" s="87">
        <f>IFERROR(INDEX(FeeCalc!S:S,MATCH(C49,FeeCalc!F:F,0)),0)</f>
        <v>39025.175886709047</v>
      </c>
      <c r="AP49" s="87">
        <f t="shared" si="20"/>
        <v>658666.61416380655</v>
      </c>
      <c r="AQ49" s="72">
        <f t="shared" si="21"/>
        <v>279493.32172135642</v>
      </c>
      <c r="AR49" s="72">
        <f t="shared" si="22"/>
        <v>139746.66086067821</v>
      </c>
      <c r="AS49" s="72">
        <f t="shared" si="23"/>
        <v>139746.66086067821</v>
      </c>
      <c r="AT49" s="72">
        <f>IFERROR(IFERROR(INDEX('2023 IP UPL Data'!L:L,MATCH(A:A,'2023 IP UPL Data'!B:B,0)),INDEX('2023 IMD UPL Data'!I:I,MATCH(A:A,'2023 IMD UPL Data'!B:B,0))),0)</f>
        <v>569808.64417177916</v>
      </c>
      <c r="AU49" s="72">
        <f>IFERROR(IF(F47="IMD",0,INDEX('2023 OP UPL Data'!J:J,MATCH(A:A,'2023 OP UPL Data'!B:B,0))),0)</f>
        <v>0</v>
      </c>
      <c r="AV49" s="45">
        <f t="shared" si="24"/>
        <v>569808.64417177916</v>
      </c>
      <c r="AW49" s="72">
        <f>IFERROR(IFERROR(INDEX('2023 IP UPL Data'!M:M,MATCH(A:A,'2023 IP UPL Data'!B:B,0)),INDEX('2023 IMD UPL Data'!K:K,MATCH(A:A,'2023 IMD UPL Data'!B:B,0))),0)</f>
        <v>1205335.73</v>
      </c>
      <c r="AX49" s="72">
        <f>IFERROR(IF(F47="IMD",0,INDEX('2023 OP UPL Data'!L:L,MATCH(A:A,'2023 OP UPL Data'!B:B,0))),0)</f>
        <v>0</v>
      </c>
      <c r="AY49" s="45">
        <f t="shared" si="25"/>
        <v>1205335.73</v>
      </c>
      <c r="AZ49" s="72">
        <v>721133.91338646226</v>
      </c>
      <c r="BA49" s="72">
        <v>0</v>
      </c>
      <c r="BB49" s="72">
        <f t="shared" si="26"/>
        <v>101492.47510936472</v>
      </c>
      <c r="BC49" s="72">
        <f t="shared" si="27"/>
        <v>0</v>
      </c>
      <c r="BD49" s="72">
        <f t="shared" si="28"/>
        <v>101492.47510936472</v>
      </c>
      <c r="BE49" s="94">
        <f t="shared" si="29"/>
        <v>0</v>
      </c>
      <c r="BF49" s="94">
        <f t="shared" si="30"/>
        <v>0</v>
      </c>
      <c r="BG49" s="73">
        <f>IFERROR(INDEX('2023 IP UPL Data'!K:K,MATCH(A49,'2023 IP UPL Data'!B:B,0)),0)</f>
        <v>0</v>
      </c>
    </row>
    <row r="50" spans="1:59">
      <c r="A50" s="124" t="s">
        <v>1203</v>
      </c>
      <c r="B50" s="31" t="s">
        <v>1203</v>
      </c>
      <c r="C50" s="31" t="s">
        <v>1204</v>
      </c>
      <c r="D50" s="180" t="s">
        <v>1204</v>
      </c>
      <c r="E50" s="144" t="s">
        <v>3097</v>
      </c>
      <c r="F50" s="44" t="s">
        <v>2718</v>
      </c>
      <c r="G50" s="43" t="s">
        <v>487</v>
      </c>
      <c r="H50" s="43" t="str">
        <f t="shared" si="2"/>
        <v>Urban Bexar</v>
      </c>
      <c r="I50" s="45">
        <f>INDEX(FeeCalc!M:M,MATCH(C:C,FeeCalc!F:F,0))</f>
        <v>66848478.702496663</v>
      </c>
      <c r="J50" s="45">
        <f>INDEX(FeeCalc!L:L,MATCH(C:C,FeeCalc!F:F,0))</f>
        <v>61366412.079723373</v>
      </c>
      <c r="K50" s="45">
        <f t="shared" si="3"/>
        <v>128214890.78222004</v>
      </c>
      <c r="L50" s="45">
        <f>IFERROR(IFERROR(INDEX('2023 IP UPL Data'!N:N,MATCH(A:A,'2023 IP UPL Data'!B:B,0)),INDEX('2023 IMD UPL Data'!M:M,MATCH(A:A,'2023 IMD UPL Data'!B:B,0))),0)</f>
        <v>74209984.349999994</v>
      </c>
      <c r="M50" s="45">
        <f>IFERROR((IF(F50="IMD",0,INDEX('2023 OP UPL Data'!M:M,MATCH(A:A,'2023 OP UPL Data'!B:B,0)))),0)</f>
        <v>21137533.768571422</v>
      </c>
      <c r="N50" s="45">
        <f t="shared" si="4"/>
        <v>95347518.118571416</v>
      </c>
      <c r="O50" s="45">
        <v>3121597.1888661385</v>
      </c>
      <c r="P50" s="45">
        <v>29368820.76184842</v>
      </c>
      <c r="Q50" s="45">
        <f t="shared" si="5"/>
        <v>32490417.950714558</v>
      </c>
      <c r="R50" s="45" t="str">
        <f t="shared" si="6"/>
        <v>Yes</v>
      </c>
      <c r="S50" s="46" t="str">
        <f t="shared" si="7"/>
        <v>Yes</v>
      </c>
      <c r="T50" s="47">
        <f>ROUND(INDEX(Summary!H:H,MATCH(H:H,Summary!A:A,0)),2)</f>
        <v>0.71</v>
      </c>
      <c r="U50" s="47">
        <f>ROUND(INDEX(Summary!I:I,MATCH(H:H,Summary!A:A,0)),2)</f>
        <v>0.67</v>
      </c>
      <c r="V50" s="85">
        <f t="shared" si="8"/>
        <v>47462419.878772631</v>
      </c>
      <c r="W50" s="85">
        <f t="shared" si="9"/>
        <v>41115496.093414664</v>
      </c>
      <c r="X50" s="45">
        <f t="shared" si="10"/>
        <v>88577915.972187296</v>
      </c>
      <c r="Y50" s="45" t="s">
        <v>3223</v>
      </c>
      <c r="Z50" s="45" t="str">
        <f t="shared" si="11"/>
        <v>No</v>
      </c>
      <c r="AA50" s="45" t="str">
        <f t="shared" si="12"/>
        <v>No</v>
      </c>
      <c r="AB50" s="45" t="str">
        <f t="shared" si="13"/>
        <v>No</v>
      </c>
      <c r="AC50" s="86">
        <f t="shared" si="31"/>
        <v>0</v>
      </c>
      <c r="AD50" s="86">
        <f t="shared" si="32"/>
        <v>0</v>
      </c>
      <c r="AE50" s="45">
        <f t="shared" si="33"/>
        <v>0</v>
      </c>
      <c r="AF50" s="45">
        <f t="shared" si="14"/>
        <v>0</v>
      </c>
      <c r="AG50" s="45">
        <f t="shared" si="15"/>
        <v>0</v>
      </c>
      <c r="AH50" s="47">
        <f>IF(Y50="No",0,IFERROR(ROUNDDOWN(INDEX('90% of ACR'!K:K,MATCH(H:H,'90% of ACR'!A:A,0))*IF(I50&gt;0,IF(O50&gt;0,$R$4*MAX(O50-V50,0),0),0)/I50,2),0))</f>
        <v>0</v>
      </c>
      <c r="AI50" s="86">
        <f>IF(Y50="No",0,IFERROR(ROUNDDOWN(INDEX('90% of ACR'!R:R,MATCH(H:H,'90% of ACR'!A:A,0))*IF(J50&gt;0,IF(P50&gt;0,$R$4*MAX(P50-W50,0),0),0)/J50,2),0))</f>
        <v>0</v>
      </c>
      <c r="AJ50" s="45">
        <f t="shared" si="16"/>
        <v>0</v>
      </c>
      <c r="AK50" s="45">
        <f t="shared" si="17"/>
        <v>0</v>
      </c>
      <c r="AL50" s="47">
        <f t="shared" si="18"/>
        <v>0.71</v>
      </c>
      <c r="AM50" s="47">
        <f t="shared" si="19"/>
        <v>0.67</v>
      </c>
      <c r="AN50" s="87">
        <f>IFERROR(INDEX(FeeCalc!P:P,MATCH(C50,FeeCalc!F:F,0)),0)</f>
        <v>88577915.972187296</v>
      </c>
      <c r="AO50" s="87">
        <f>IFERROR(INDEX(FeeCalc!S:S,MATCH(C50,FeeCalc!F:F,0)),0)</f>
        <v>5477117.9323733188</v>
      </c>
      <c r="AP50" s="87">
        <f t="shared" si="20"/>
        <v>94055033.904560611</v>
      </c>
      <c r="AQ50" s="72">
        <f t="shared" si="21"/>
        <v>39910560.64679002</v>
      </c>
      <c r="AR50" s="72">
        <f t="shared" si="22"/>
        <v>19955280.32339501</v>
      </c>
      <c r="AS50" s="72">
        <f t="shared" si="23"/>
        <v>19955280.32339501</v>
      </c>
      <c r="AT50" s="72">
        <f>IFERROR(IFERROR(INDEX('2023 IP UPL Data'!L:L,MATCH(A:A,'2023 IP UPL Data'!B:B,0)),INDEX('2023 IMD UPL Data'!I:I,MATCH(A:A,'2023 IMD UPL Data'!B:B,0))),0)</f>
        <v>94564055.330000013</v>
      </c>
      <c r="AU50" s="72">
        <f>IFERROR(IF(F48="IMD",0,INDEX('2023 OP UPL Data'!J:J,MATCH(A:A,'2023 OP UPL Data'!B:B,0))),0)</f>
        <v>24637234.421428576</v>
      </c>
      <c r="AV50" s="45">
        <f t="shared" si="24"/>
        <v>119201289.75142859</v>
      </c>
      <c r="AW50" s="72">
        <f>IFERROR(IFERROR(INDEX('2023 IP UPL Data'!M:M,MATCH(A:A,'2023 IP UPL Data'!B:B,0)),INDEX('2023 IMD UPL Data'!K:K,MATCH(A:A,'2023 IMD UPL Data'!B:B,0))),0)</f>
        <v>168774039.68000001</v>
      </c>
      <c r="AX50" s="72">
        <f>IFERROR(IF(F48="IMD",0,INDEX('2023 OP UPL Data'!L:L,MATCH(A:A,'2023 OP UPL Data'!B:B,0))),0)</f>
        <v>45774768.189999998</v>
      </c>
      <c r="AY50" s="45">
        <f t="shared" si="25"/>
        <v>214548807.87</v>
      </c>
      <c r="AZ50" s="72">
        <v>97685652.518866152</v>
      </c>
      <c r="BA50" s="72">
        <v>54006055.183276996</v>
      </c>
      <c r="BB50" s="72">
        <f t="shared" si="26"/>
        <v>50223232.64009352</v>
      </c>
      <c r="BC50" s="72">
        <f t="shared" si="27"/>
        <v>12890559.089862332</v>
      </c>
      <c r="BD50" s="72">
        <f t="shared" si="28"/>
        <v>63113791.729955837</v>
      </c>
      <c r="BE50" s="94">
        <f t="shared" si="29"/>
        <v>0</v>
      </c>
      <c r="BF50" s="94">
        <f t="shared" si="30"/>
        <v>8231286.9932769984</v>
      </c>
      <c r="BG50" s="73">
        <f>IFERROR(INDEX('2023 IP UPL Data'!K:K,MATCH(A50,'2023 IP UPL Data'!B:B,0)),0)</f>
        <v>44328813.380000003</v>
      </c>
    </row>
    <row r="51" spans="1:59">
      <c r="A51" s="124" t="s">
        <v>1522</v>
      </c>
      <c r="B51" s="31" t="s">
        <v>1522</v>
      </c>
      <c r="C51" s="31" t="s">
        <v>1523</v>
      </c>
      <c r="D51" s="180" t="s">
        <v>1523</v>
      </c>
      <c r="E51" s="144" t="s">
        <v>3138</v>
      </c>
      <c r="F51" s="44" t="s">
        <v>2718</v>
      </c>
      <c r="G51" s="43" t="s">
        <v>310</v>
      </c>
      <c r="H51" s="43" t="str">
        <f t="shared" si="2"/>
        <v>Urban MRSA Northeast</v>
      </c>
      <c r="I51" s="45">
        <f>INDEX(FeeCalc!M:M,MATCH(C:C,FeeCalc!F:F,0))</f>
        <v>126031.85013204545</v>
      </c>
      <c r="J51" s="45">
        <f>INDEX(FeeCalc!L:L,MATCH(C:C,FeeCalc!F:F,0))</f>
        <v>0</v>
      </c>
      <c r="K51" s="45">
        <f t="shared" si="3"/>
        <v>126031.85013204545</v>
      </c>
      <c r="L51" s="45">
        <f>IFERROR(IFERROR(INDEX('2023 IP UPL Data'!N:N,MATCH(A:A,'2023 IP UPL Data'!B:B,0)),INDEX('2023 IMD UPL Data'!M:M,MATCH(A:A,'2023 IMD UPL Data'!B:B,0))),0)</f>
        <v>126754.45000000001</v>
      </c>
      <c r="M51" s="45">
        <f>IFERROR((IF(F51="IMD",0,INDEX('2023 OP UPL Data'!M:M,MATCH(A:A,'2023 OP UPL Data'!B:B,0)))),0)</f>
        <v>0</v>
      </c>
      <c r="N51" s="45">
        <f t="shared" si="4"/>
        <v>126754.45000000001</v>
      </c>
      <c r="O51" s="45">
        <v>20752.179024541605</v>
      </c>
      <c r="P51" s="45">
        <v>0</v>
      </c>
      <c r="Q51" s="45">
        <f t="shared" si="5"/>
        <v>20752.179024541605</v>
      </c>
      <c r="R51" s="45" t="str">
        <f t="shared" si="6"/>
        <v>Yes</v>
      </c>
      <c r="S51" s="46" t="str">
        <f t="shared" si="7"/>
        <v>No</v>
      </c>
      <c r="T51" s="47">
        <f>ROUND(INDEX(Summary!H:H,MATCH(H:H,Summary!A:A,0)),2)</f>
        <v>0.79</v>
      </c>
      <c r="U51" s="47">
        <f>ROUND(INDEX(Summary!I:I,MATCH(H:H,Summary!A:A,0)),2)</f>
        <v>1.2</v>
      </c>
      <c r="V51" s="85">
        <f t="shared" si="8"/>
        <v>99565.161604315916</v>
      </c>
      <c r="W51" s="85">
        <f t="shared" si="9"/>
        <v>0</v>
      </c>
      <c r="X51" s="45">
        <f t="shared" si="10"/>
        <v>99565.161604315916</v>
      </c>
      <c r="Y51" s="45" t="s">
        <v>3223</v>
      </c>
      <c r="Z51" s="45" t="str">
        <f t="shared" si="11"/>
        <v>No</v>
      </c>
      <c r="AA51" s="45" t="str">
        <f t="shared" si="12"/>
        <v>No</v>
      </c>
      <c r="AB51" s="45" t="str">
        <f t="shared" si="13"/>
        <v>No</v>
      </c>
      <c r="AC51" s="86">
        <f t="shared" si="31"/>
        <v>0</v>
      </c>
      <c r="AD51" s="86">
        <f t="shared" si="32"/>
        <v>0</v>
      </c>
      <c r="AE51" s="45">
        <f t="shared" si="33"/>
        <v>0</v>
      </c>
      <c r="AF51" s="45">
        <f t="shared" si="14"/>
        <v>0</v>
      </c>
      <c r="AG51" s="45">
        <f t="shared" si="15"/>
        <v>0</v>
      </c>
      <c r="AH51" s="47">
        <f>IF(Y51="No",0,IFERROR(ROUNDDOWN(INDEX('90% of ACR'!K:K,MATCH(H:H,'90% of ACR'!A:A,0))*IF(I51&gt;0,IF(O51&gt;0,$R$4*MAX(O51-V51,0),0),0)/I51,2),0))</f>
        <v>0</v>
      </c>
      <c r="AI51" s="86">
        <f>IF(Y51="No",0,IFERROR(ROUNDDOWN(INDEX('90% of ACR'!R:R,MATCH(H:H,'90% of ACR'!A:A,0))*IF(J51&gt;0,IF(P51&gt;0,$R$4*MAX(P51-W51,0),0),0)/J51,2),0))</f>
        <v>0</v>
      </c>
      <c r="AJ51" s="45">
        <f t="shared" si="16"/>
        <v>0</v>
      </c>
      <c r="AK51" s="45">
        <f t="shared" si="17"/>
        <v>0</v>
      </c>
      <c r="AL51" s="47">
        <f t="shared" si="18"/>
        <v>0.79</v>
      </c>
      <c r="AM51" s="47">
        <f t="shared" si="19"/>
        <v>1.2</v>
      </c>
      <c r="AN51" s="87">
        <f>IFERROR(INDEX(FeeCalc!P:P,MATCH(C51,FeeCalc!F:F,0)),0)</f>
        <v>99565.161604315916</v>
      </c>
      <c r="AO51" s="87">
        <f>IFERROR(INDEX(FeeCalc!S:S,MATCH(C51,FeeCalc!F:F,0)),0)</f>
        <v>6149.1459554422536</v>
      </c>
      <c r="AP51" s="87">
        <f t="shared" si="20"/>
        <v>105714.30755975816</v>
      </c>
      <c r="AQ51" s="72">
        <f t="shared" si="21"/>
        <v>44857.963555447306</v>
      </c>
      <c r="AR51" s="72">
        <f t="shared" si="22"/>
        <v>22428.981777723653</v>
      </c>
      <c r="AS51" s="72">
        <f t="shared" si="23"/>
        <v>22428.981777723653</v>
      </c>
      <c r="AT51" s="72">
        <f>IFERROR(IFERROR(INDEX('2023 IP UPL Data'!L:L,MATCH(A:A,'2023 IP UPL Data'!B:B,0)),INDEX('2023 IMD UPL Data'!I:I,MATCH(A:A,'2023 IMD UPL Data'!B:B,0))),0)</f>
        <v>176800</v>
      </c>
      <c r="AU51" s="72">
        <f>IFERROR(IF(F49="IMD",0,INDEX('2023 OP UPL Data'!J:J,MATCH(A:A,'2023 OP UPL Data'!B:B,0))),0)</f>
        <v>0</v>
      </c>
      <c r="AV51" s="45">
        <f t="shared" si="24"/>
        <v>176800</v>
      </c>
      <c r="AW51" s="72">
        <f>IFERROR(IFERROR(INDEX('2023 IP UPL Data'!M:M,MATCH(A:A,'2023 IP UPL Data'!B:B,0)),INDEX('2023 IMD UPL Data'!K:K,MATCH(A:A,'2023 IMD UPL Data'!B:B,0))),0)</f>
        <v>303554.45</v>
      </c>
      <c r="AX51" s="72">
        <f>IFERROR(IF(F49="IMD",0,INDEX('2023 OP UPL Data'!L:L,MATCH(A:A,'2023 OP UPL Data'!B:B,0))),0)</f>
        <v>0</v>
      </c>
      <c r="AY51" s="45">
        <f t="shared" si="25"/>
        <v>303554.45</v>
      </c>
      <c r="AZ51" s="72">
        <v>197552.17902454161</v>
      </c>
      <c r="BA51" s="72">
        <v>0</v>
      </c>
      <c r="BB51" s="72">
        <f t="shared" si="26"/>
        <v>97987.017420225689</v>
      </c>
      <c r="BC51" s="72">
        <f t="shared" si="27"/>
        <v>0</v>
      </c>
      <c r="BD51" s="72">
        <f t="shared" si="28"/>
        <v>97987.017420225689</v>
      </c>
      <c r="BE51" s="94">
        <f t="shared" si="29"/>
        <v>0</v>
      </c>
      <c r="BF51" s="94">
        <f t="shared" si="30"/>
        <v>0</v>
      </c>
      <c r="BG51" s="73">
        <f>IFERROR(INDEX('2023 IP UPL Data'!K:K,MATCH(A51,'2023 IP UPL Data'!B:B,0)),0)</f>
        <v>0</v>
      </c>
    </row>
    <row r="52" spans="1:59">
      <c r="A52" s="124" t="s">
        <v>1514</v>
      </c>
      <c r="B52" s="31" t="s">
        <v>1514</v>
      </c>
      <c r="C52" s="31" t="s">
        <v>1515</v>
      </c>
      <c r="D52" s="180" t="s">
        <v>1515</v>
      </c>
      <c r="E52" s="144" t="s">
        <v>3449</v>
      </c>
      <c r="F52" s="44" t="s">
        <v>2718</v>
      </c>
      <c r="G52" s="43" t="s">
        <v>1489</v>
      </c>
      <c r="H52" s="43" t="str">
        <f t="shared" si="2"/>
        <v>Urban MRSA Central</v>
      </c>
      <c r="I52" s="45">
        <f>INDEX(FeeCalc!M:M,MATCH(C:C,FeeCalc!F:F,0))</f>
        <v>510734.16508187284</v>
      </c>
      <c r="J52" s="45">
        <f>INDEX(FeeCalc!L:L,MATCH(C:C,FeeCalc!F:F,0))</f>
        <v>0</v>
      </c>
      <c r="K52" s="45">
        <f t="shared" si="3"/>
        <v>510734.16508187284</v>
      </c>
      <c r="L52" s="45">
        <f>IFERROR(IFERROR(INDEX('2023 IP UPL Data'!N:N,MATCH(A:A,'2023 IP UPL Data'!B:B,0)),INDEX('2023 IMD UPL Data'!M:M,MATCH(A:A,'2023 IMD UPL Data'!B:B,0))),0)</f>
        <v>227622.72999999998</v>
      </c>
      <c r="M52" s="45">
        <f>IFERROR((IF(F52="IMD",0,INDEX('2023 OP UPL Data'!M:M,MATCH(A:A,'2023 OP UPL Data'!B:B,0)))),0)</f>
        <v>0</v>
      </c>
      <c r="N52" s="45">
        <f t="shared" si="4"/>
        <v>227622.72999999998</v>
      </c>
      <c r="O52" s="45">
        <v>45140.835449647973</v>
      </c>
      <c r="P52" s="45">
        <v>0</v>
      </c>
      <c r="Q52" s="45">
        <f t="shared" si="5"/>
        <v>45140.835449647973</v>
      </c>
      <c r="R52" s="45" t="str">
        <f t="shared" si="6"/>
        <v>Yes</v>
      </c>
      <c r="S52" s="46" t="str">
        <f t="shared" si="7"/>
        <v>No</v>
      </c>
      <c r="T52" s="47">
        <f>ROUND(INDEX(Summary!H:H,MATCH(H:H,Summary!A:A,0)),2)</f>
        <v>0.78</v>
      </c>
      <c r="U52" s="47">
        <f>ROUND(INDEX(Summary!I:I,MATCH(H:H,Summary!A:A,0)),2)</f>
        <v>1.29</v>
      </c>
      <c r="V52" s="85">
        <f t="shared" si="8"/>
        <v>398372.64876386081</v>
      </c>
      <c r="W52" s="85">
        <f t="shared" si="9"/>
        <v>0</v>
      </c>
      <c r="X52" s="45">
        <f t="shared" si="10"/>
        <v>398372.64876386081</v>
      </c>
      <c r="Y52" s="45" t="s">
        <v>3223</v>
      </c>
      <c r="Z52" s="45" t="str">
        <f t="shared" si="11"/>
        <v>No</v>
      </c>
      <c r="AA52" s="45" t="str">
        <f t="shared" si="12"/>
        <v>No</v>
      </c>
      <c r="AB52" s="45" t="str">
        <f t="shared" si="13"/>
        <v>No</v>
      </c>
      <c r="AC52" s="86">
        <f t="shared" si="31"/>
        <v>0</v>
      </c>
      <c r="AD52" s="86">
        <f t="shared" si="32"/>
        <v>0</v>
      </c>
      <c r="AE52" s="45">
        <f t="shared" si="33"/>
        <v>0</v>
      </c>
      <c r="AF52" s="45">
        <f t="shared" si="14"/>
        <v>0</v>
      </c>
      <c r="AG52" s="45">
        <f t="shared" si="15"/>
        <v>0</v>
      </c>
      <c r="AH52" s="47">
        <f>IF(Y52="No",0,IFERROR(ROUNDDOWN(INDEX('90% of ACR'!K:K,MATCH(H:H,'90% of ACR'!A:A,0))*IF(I52&gt;0,IF(O52&gt;0,$R$4*MAX(O52-V52,0),0),0)/I52,2),0))</f>
        <v>0</v>
      </c>
      <c r="AI52" s="86">
        <f>IF(Y52="No",0,IFERROR(ROUNDDOWN(INDEX('90% of ACR'!R:R,MATCH(H:H,'90% of ACR'!A:A,0))*IF(J52&gt;0,IF(P52&gt;0,$R$4*MAX(P52-W52,0),0),0)/J52,2),0))</f>
        <v>0</v>
      </c>
      <c r="AJ52" s="45">
        <f t="shared" si="16"/>
        <v>0</v>
      </c>
      <c r="AK52" s="45">
        <f t="shared" si="17"/>
        <v>0</v>
      </c>
      <c r="AL52" s="47">
        <f t="shared" si="18"/>
        <v>0.78</v>
      </c>
      <c r="AM52" s="47">
        <f t="shared" si="19"/>
        <v>1.29</v>
      </c>
      <c r="AN52" s="87">
        <f>IFERROR(INDEX(FeeCalc!P:P,MATCH(C52,FeeCalc!F:F,0)),0)</f>
        <v>398372.64876386081</v>
      </c>
      <c r="AO52" s="87">
        <f>IFERROR(INDEX(FeeCalc!S:S,MATCH(C52,FeeCalc!F:F,0)),0)</f>
        <v>25120.35104769636</v>
      </c>
      <c r="AP52" s="87">
        <f t="shared" si="20"/>
        <v>423492.99981155718</v>
      </c>
      <c r="AQ52" s="72">
        <f t="shared" si="21"/>
        <v>179701.63159603771</v>
      </c>
      <c r="AR52" s="72">
        <f t="shared" si="22"/>
        <v>89850.815798018855</v>
      </c>
      <c r="AS52" s="72">
        <f t="shared" si="23"/>
        <v>89850.815798018855</v>
      </c>
      <c r="AT52" s="72">
        <f>IFERROR(IFERROR(INDEX('2023 IP UPL Data'!L:L,MATCH(A:A,'2023 IP UPL Data'!B:B,0)),INDEX('2023 IMD UPL Data'!I:I,MATCH(A:A,'2023 IMD UPL Data'!B:B,0))),0)</f>
        <v>256700</v>
      </c>
      <c r="AU52" s="72">
        <f>IFERROR(IF(F50="IMD",0,INDEX('2023 OP UPL Data'!J:J,MATCH(A:A,'2023 OP UPL Data'!B:B,0))),0)</f>
        <v>0</v>
      </c>
      <c r="AV52" s="45">
        <f t="shared" si="24"/>
        <v>256700</v>
      </c>
      <c r="AW52" s="72">
        <f>IFERROR(IFERROR(INDEX('2023 IP UPL Data'!M:M,MATCH(A:A,'2023 IP UPL Data'!B:B,0)),INDEX('2023 IMD UPL Data'!K:K,MATCH(A:A,'2023 IMD UPL Data'!B:B,0))),0)</f>
        <v>484322.73</v>
      </c>
      <c r="AX52" s="72">
        <f>IFERROR(IF(F50="IMD",0,INDEX('2023 OP UPL Data'!L:L,MATCH(A:A,'2023 OP UPL Data'!B:B,0))),0)</f>
        <v>0</v>
      </c>
      <c r="AY52" s="45">
        <f t="shared" si="25"/>
        <v>484322.73</v>
      </c>
      <c r="AZ52" s="72">
        <v>301840.83544964797</v>
      </c>
      <c r="BA52" s="72">
        <v>0</v>
      </c>
      <c r="BB52" s="72">
        <f t="shared" si="26"/>
        <v>0</v>
      </c>
      <c r="BC52" s="72">
        <f t="shared" si="27"/>
        <v>0</v>
      </c>
      <c r="BD52" s="72">
        <f t="shared" si="28"/>
        <v>0</v>
      </c>
      <c r="BE52" s="94">
        <f t="shared" si="29"/>
        <v>0</v>
      </c>
      <c r="BF52" s="94">
        <f t="shared" si="30"/>
        <v>0</v>
      </c>
      <c r="BG52" s="73">
        <f>IFERROR(INDEX('2023 IP UPL Data'!K:K,MATCH(A52,'2023 IP UPL Data'!B:B,0)),0)</f>
        <v>0</v>
      </c>
    </row>
    <row r="53" spans="1:59">
      <c r="A53" s="124" t="s">
        <v>1449</v>
      </c>
      <c r="B53" s="149" t="s">
        <v>1449</v>
      </c>
      <c r="C53" s="31" t="s">
        <v>1450</v>
      </c>
      <c r="D53" s="181" t="s">
        <v>1450</v>
      </c>
      <c r="E53" s="144" t="s">
        <v>3128</v>
      </c>
      <c r="F53" s="120" t="s">
        <v>2718</v>
      </c>
      <c r="G53" s="120" t="s">
        <v>1202</v>
      </c>
      <c r="H53" s="43" t="str">
        <f t="shared" si="2"/>
        <v>Urban Travis</v>
      </c>
      <c r="I53" s="45">
        <f>INDEX(FeeCalc!M:M,MATCH(C:C,FeeCalc!F:F,0))</f>
        <v>367727.62360424321</v>
      </c>
      <c r="J53" s="45">
        <f>INDEX(FeeCalc!L:L,MATCH(C:C,FeeCalc!F:F,0))</f>
        <v>0</v>
      </c>
      <c r="K53" s="45">
        <f t="shared" si="3"/>
        <v>367727.62360424321</v>
      </c>
      <c r="L53" s="45">
        <f>IFERROR(IFERROR(INDEX('2023 IP UPL Data'!N:N,MATCH(A:A,'2023 IP UPL Data'!B:B,0)),INDEX('2023 IMD UPL Data'!M:M,MATCH(A:A,'2023 IMD UPL Data'!B:B,0))),0)</f>
        <v>395022.05000000005</v>
      </c>
      <c r="M53" s="45">
        <f>IFERROR((IF(F53="IMD",0,INDEX('2023 OP UPL Data'!M:M,MATCH(A:A,'2023 OP UPL Data'!B:B,0)))),0)</f>
        <v>0</v>
      </c>
      <c r="N53" s="45">
        <f t="shared" si="4"/>
        <v>395022.05000000005</v>
      </c>
      <c r="O53" s="45">
        <v>98232.268689669552</v>
      </c>
      <c r="P53" s="45">
        <v>0</v>
      </c>
      <c r="Q53" s="45">
        <f t="shared" si="5"/>
        <v>98232.268689669552</v>
      </c>
      <c r="R53" s="45" t="str">
        <f t="shared" si="6"/>
        <v>Yes</v>
      </c>
      <c r="S53" s="46" t="str">
        <f t="shared" si="7"/>
        <v>No</v>
      </c>
      <c r="T53" s="47">
        <f>ROUND(INDEX(Summary!H:H,MATCH(H:H,Summary!A:A,0)),2)</f>
        <v>0.75</v>
      </c>
      <c r="U53" s="47">
        <f>ROUND(INDEX(Summary!I:I,MATCH(H:H,Summary!A:A,0)),2)</f>
        <v>1.83</v>
      </c>
      <c r="V53" s="85">
        <f t="shared" si="8"/>
        <v>275795.71770318242</v>
      </c>
      <c r="W53" s="85">
        <f t="shared" si="9"/>
        <v>0</v>
      </c>
      <c r="X53" s="45">
        <f t="shared" si="10"/>
        <v>275795.71770318242</v>
      </c>
      <c r="Y53" s="45" t="s">
        <v>3223</v>
      </c>
      <c r="Z53" s="45" t="str">
        <f t="shared" si="11"/>
        <v>No</v>
      </c>
      <c r="AA53" s="45" t="str">
        <f t="shared" si="12"/>
        <v>No</v>
      </c>
      <c r="AB53" s="45" t="str">
        <f t="shared" si="13"/>
        <v>No</v>
      </c>
      <c r="AC53" s="86">
        <f t="shared" si="31"/>
        <v>0</v>
      </c>
      <c r="AD53" s="86">
        <f t="shared" si="32"/>
        <v>0</v>
      </c>
      <c r="AE53" s="45">
        <f t="shared" si="33"/>
        <v>0</v>
      </c>
      <c r="AF53" s="45">
        <f t="shared" si="14"/>
        <v>0</v>
      </c>
      <c r="AG53" s="45">
        <f t="shared" si="15"/>
        <v>0</v>
      </c>
      <c r="AH53" s="47">
        <f>IF(Y53="No",0,IFERROR(ROUNDDOWN(INDEX('90% of ACR'!K:K,MATCH(H:H,'90% of ACR'!A:A,0))*IF(I53&gt;0,IF(O53&gt;0,$R$4*MAX(O53-V53,0),0),0)/I53,2),0))</f>
        <v>0</v>
      </c>
      <c r="AI53" s="86">
        <f>IF(Y53="No",0,IFERROR(ROUNDDOWN(INDEX('90% of ACR'!R:R,MATCH(H:H,'90% of ACR'!A:A,0))*IF(J53&gt;0,IF(P53&gt;0,$R$4*MAX(P53-W53,0),0),0)/J53,2),0))</f>
        <v>0</v>
      </c>
      <c r="AJ53" s="45">
        <f t="shared" si="16"/>
        <v>0</v>
      </c>
      <c r="AK53" s="45">
        <f t="shared" si="17"/>
        <v>0</v>
      </c>
      <c r="AL53" s="47">
        <f t="shared" si="18"/>
        <v>0.75</v>
      </c>
      <c r="AM53" s="47">
        <f t="shared" si="19"/>
        <v>1.83</v>
      </c>
      <c r="AN53" s="87">
        <f>IFERROR(INDEX(FeeCalc!P:P,MATCH(C53,FeeCalc!F:F,0)),0)</f>
        <v>275795.71770318242</v>
      </c>
      <c r="AO53" s="87">
        <f>IFERROR(INDEX(FeeCalc!S:S,MATCH(C53,FeeCalc!F:F,0)),0)</f>
        <v>17449.480046789336</v>
      </c>
      <c r="AP53" s="87">
        <f t="shared" si="20"/>
        <v>293245.19774997176</v>
      </c>
      <c r="AQ53" s="72">
        <f t="shared" si="21"/>
        <v>124433.32125164104</v>
      </c>
      <c r="AR53" s="72">
        <f t="shared" si="22"/>
        <v>62216.660625820521</v>
      </c>
      <c r="AS53" s="72">
        <f t="shared" si="23"/>
        <v>62216.660625820521</v>
      </c>
      <c r="AT53" s="72">
        <f>IFERROR(IFERROR(INDEX('2023 IP UPL Data'!L:L,MATCH(A:A,'2023 IP UPL Data'!B:B,0)),INDEX('2023 IMD UPL Data'!I:I,MATCH(A:A,'2023 IMD UPL Data'!B:B,0))),0)</f>
        <v>340000</v>
      </c>
      <c r="AU53" s="72">
        <f>IFERROR(IF(F51="IMD",0,INDEX('2023 OP UPL Data'!J:J,MATCH(A:A,'2023 OP UPL Data'!B:B,0))),0)</f>
        <v>0</v>
      </c>
      <c r="AV53" s="45">
        <f t="shared" si="24"/>
        <v>340000</v>
      </c>
      <c r="AW53" s="72">
        <f>IFERROR(IFERROR(INDEX('2023 IP UPL Data'!M:M,MATCH(A:A,'2023 IP UPL Data'!B:B,0)),INDEX('2023 IMD UPL Data'!K:K,MATCH(A:A,'2023 IMD UPL Data'!B:B,0))),0)</f>
        <v>735022.05</v>
      </c>
      <c r="AX53" s="72">
        <f>IFERROR(IF(F51="IMD",0,INDEX('2023 OP UPL Data'!L:L,MATCH(A:A,'2023 OP UPL Data'!B:B,0))),0)</f>
        <v>0</v>
      </c>
      <c r="AY53" s="45">
        <f t="shared" si="25"/>
        <v>735022.05</v>
      </c>
      <c r="AZ53" s="72">
        <v>438232.26868966955</v>
      </c>
      <c r="BA53" s="72">
        <v>0</v>
      </c>
      <c r="BB53" s="72">
        <f t="shared" si="26"/>
        <v>162436.55098648713</v>
      </c>
      <c r="BC53" s="72">
        <f t="shared" si="27"/>
        <v>0</v>
      </c>
      <c r="BD53" s="72">
        <f t="shared" si="28"/>
        <v>162436.55098648713</v>
      </c>
      <c r="BE53" s="94">
        <f t="shared" si="29"/>
        <v>0</v>
      </c>
      <c r="BF53" s="94">
        <f t="shared" si="30"/>
        <v>0</v>
      </c>
      <c r="BG53" s="73">
        <f>IFERROR(INDEX('2023 IP UPL Data'!K:K,MATCH(A53,'2023 IP UPL Data'!B:B,0)),0)</f>
        <v>0</v>
      </c>
    </row>
    <row r="54" spans="1:59">
      <c r="A54" s="124" t="s">
        <v>1433</v>
      </c>
      <c r="B54" s="149" t="s">
        <v>1433</v>
      </c>
      <c r="C54" s="31" t="s">
        <v>1434</v>
      </c>
      <c r="D54" s="181" t="s">
        <v>1434</v>
      </c>
      <c r="E54" s="144" t="s">
        <v>3118</v>
      </c>
      <c r="F54" s="120" t="s">
        <v>2718</v>
      </c>
      <c r="G54" s="120" t="s">
        <v>227</v>
      </c>
      <c r="H54" s="43" t="str">
        <f t="shared" si="2"/>
        <v>Urban MRSA West</v>
      </c>
      <c r="I54" s="45">
        <f>INDEX(FeeCalc!M:M,MATCH(C:C,FeeCalc!F:F,0))</f>
        <v>559067.12920694624</v>
      </c>
      <c r="J54" s="45">
        <f>INDEX(FeeCalc!L:L,MATCH(C:C,FeeCalc!F:F,0))</f>
        <v>0</v>
      </c>
      <c r="K54" s="45">
        <f t="shared" si="3"/>
        <v>559067.12920694624</v>
      </c>
      <c r="L54" s="45">
        <f>IFERROR(IFERROR(INDEX('2023 IP UPL Data'!N:N,MATCH(A:A,'2023 IP UPL Data'!B:B,0)),INDEX('2023 IMD UPL Data'!M:M,MATCH(A:A,'2023 IMD UPL Data'!B:B,0))),0)</f>
        <v>537475.91999999993</v>
      </c>
      <c r="M54" s="45">
        <f>IFERROR((IF(F54="IMD",0,INDEX('2023 OP UPL Data'!M:M,MATCH(A:A,'2023 OP UPL Data'!B:B,0)))),0)</f>
        <v>0</v>
      </c>
      <c r="N54" s="45">
        <f t="shared" si="4"/>
        <v>537475.91999999993</v>
      </c>
      <c r="O54" s="45">
        <v>126549.92561415699</v>
      </c>
      <c r="P54" s="45">
        <v>0</v>
      </c>
      <c r="Q54" s="45">
        <f t="shared" si="5"/>
        <v>126549.92561415699</v>
      </c>
      <c r="R54" s="45" t="str">
        <f t="shared" si="6"/>
        <v>Yes</v>
      </c>
      <c r="S54" s="46" t="str">
        <f t="shared" si="7"/>
        <v>No</v>
      </c>
      <c r="T54" s="47">
        <f>ROUND(INDEX(Summary!H:H,MATCH(H:H,Summary!A:A,0)),2)</f>
        <v>0.43</v>
      </c>
      <c r="U54" s="47">
        <f>ROUND(INDEX(Summary!I:I,MATCH(H:H,Summary!A:A,0)),2)</f>
        <v>1.18</v>
      </c>
      <c r="V54" s="85">
        <f t="shared" si="8"/>
        <v>240398.86555898687</v>
      </c>
      <c r="W54" s="85">
        <f t="shared" si="9"/>
        <v>0</v>
      </c>
      <c r="X54" s="45">
        <f t="shared" si="10"/>
        <v>240398.86555898687</v>
      </c>
      <c r="Y54" s="45" t="s">
        <v>3223</v>
      </c>
      <c r="Z54" s="45" t="str">
        <f t="shared" si="11"/>
        <v>No</v>
      </c>
      <c r="AA54" s="45" t="str">
        <f t="shared" si="12"/>
        <v>No</v>
      </c>
      <c r="AB54" s="45" t="str">
        <f t="shared" si="13"/>
        <v>No</v>
      </c>
      <c r="AC54" s="86">
        <f t="shared" si="31"/>
        <v>0</v>
      </c>
      <c r="AD54" s="86">
        <f t="shared" si="32"/>
        <v>0</v>
      </c>
      <c r="AE54" s="45">
        <f t="shared" si="33"/>
        <v>0</v>
      </c>
      <c r="AF54" s="45">
        <f t="shared" si="14"/>
        <v>0</v>
      </c>
      <c r="AG54" s="45">
        <f t="shared" si="15"/>
        <v>0</v>
      </c>
      <c r="AH54" s="47">
        <f>IF(Y54="No",0,IFERROR(ROUNDDOWN(INDEX('90% of ACR'!K:K,MATCH(H:H,'90% of ACR'!A:A,0))*IF(I54&gt;0,IF(O54&gt;0,$R$4*MAX(O54-V54,0),0),0)/I54,2),0))</f>
        <v>0</v>
      </c>
      <c r="AI54" s="86">
        <f>IF(Y54="No",0,IFERROR(ROUNDDOWN(INDEX('90% of ACR'!R:R,MATCH(H:H,'90% of ACR'!A:A,0))*IF(J54&gt;0,IF(P54&gt;0,$R$4*MAX(P54-W54,0),0),0)/J54,2),0))</f>
        <v>0</v>
      </c>
      <c r="AJ54" s="45">
        <f t="shared" si="16"/>
        <v>0</v>
      </c>
      <c r="AK54" s="45">
        <f t="shared" si="17"/>
        <v>0</v>
      </c>
      <c r="AL54" s="47">
        <f t="shared" si="18"/>
        <v>0.43</v>
      </c>
      <c r="AM54" s="47">
        <f t="shared" si="19"/>
        <v>1.18</v>
      </c>
      <c r="AN54" s="87">
        <f>IFERROR(INDEX(FeeCalc!P:P,MATCH(C54,FeeCalc!F:F,0)),0)</f>
        <v>240398.86555898687</v>
      </c>
      <c r="AO54" s="87">
        <f>IFERROR(INDEX(FeeCalc!S:S,MATCH(C54,FeeCalc!F:F,0)),0)</f>
        <v>15289.640336810215</v>
      </c>
      <c r="AP54" s="87">
        <f t="shared" si="20"/>
        <v>255688.50589579708</v>
      </c>
      <c r="AQ54" s="72">
        <f t="shared" si="21"/>
        <v>108496.81508377538</v>
      </c>
      <c r="AR54" s="72">
        <f t="shared" si="22"/>
        <v>54248.407541887689</v>
      </c>
      <c r="AS54" s="72">
        <f t="shared" si="23"/>
        <v>54248.407541887689</v>
      </c>
      <c r="AT54" s="72">
        <f>IFERROR(IFERROR(INDEX('2023 IP UPL Data'!L:L,MATCH(A:A,'2023 IP UPL Data'!B:B,0)),INDEX('2023 IMD UPL Data'!I:I,MATCH(A:A,'2023 IMD UPL Data'!B:B,0))),0)</f>
        <v>569500</v>
      </c>
      <c r="AU54" s="72">
        <f>IFERROR(IF(F52="IMD",0,INDEX('2023 OP UPL Data'!J:J,MATCH(A:A,'2023 OP UPL Data'!B:B,0))),0)</f>
        <v>0</v>
      </c>
      <c r="AV54" s="45">
        <f t="shared" si="24"/>
        <v>569500</v>
      </c>
      <c r="AW54" s="72">
        <f>IFERROR(IFERROR(INDEX('2023 IP UPL Data'!M:M,MATCH(A:A,'2023 IP UPL Data'!B:B,0)),INDEX('2023 IMD UPL Data'!K:K,MATCH(A:A,'2023 IMD UPL Data'!B:B,0))),0)</f>
        <v>1106975.92</v>
      </c>
      <c r="AX54" s="72">
        <f>IFERROR(IF(F52="IMD",0,INDEX('2023 OP UPL Data'!L:L,MATCH(A:A,'2023 OP UPL Data'!B:B,0))),0)</f>
        <v>0</v>
      </c>
      <c r="AY54" s="45">
        <f t="shared" si="25"/>
        <v>1106975.92</v>
      </c>
      <c r="AZ54" s="72">
        <v>696049.92561415699</v>
      </c>
      <c r="BA54" s="72">
        <v>0</v>
      </c>
      <c r="BB54" s="72">
        <f t="shared" si="26"/>
        <v>455651.06005517009</v>
      </c>
      <c r="BC54" s="72">
        <f t="shared" si="27"/>
        <v>0</v>
      </c>
      <c r="BD54" s="72">
        <f t="shared" si="28"/>
        <v>455651.06005517009</v>
      </c>
      <c r="BE54" s="94">
        <f t="shared" si="29"/>
        <v>0</v>
      </c>
      <c r="BF54" s="94">
        <f t="shared" si="30"/>
        <v>0</v>
      </c>
      <c r="BG54" s="73">
        <f>IFERROR(INDEX('2023 IP UPL Data'!K:K,MATCH(A54,'2023 IP UPL Data'!B:B,0)),0)</f>
        <v>0</v>
      </c>
    </row>
    <row r="55" spans="1:59">
      <c r="A55" s="124" t="s">
        <v>747</v>
      </c>
      <c r="B55" s="149" t="s">
        <v>747</v>
      </c>
      <c r="C55" s="31" t="s">
        <v>748</v>
      </c>
      <c r="D55" s="181" t="s">
        <v>748</v>
      </c>
      <c r="E55" s="144" t="s">
        <v>2869</v>
      </c>
      <c r="F55" s="120" t="s">
        <v>2718</v>
      </c>
      <c r="G55" s="120" t="s">
        <v>227</v>
      </c>
      <c r="H55" s="43" t="str">
        <f t="shared" si="2"/>
        <v>Urban MRSA West</v>
      </c>
      <c r="I55" s="45">
        <f>INDEX(FeeCalc!M:M,MATCH(C:C,FeeCalc!F:F,0))</f>
        <v>13938733.817197807</v>
      </c>
      <c r="J55" s="45">
        <f>INDEX(FeeCalc!L:L,MATCH(C:C,FeeCalc!F:F,0))</f>
        <v>11078393.845413793</v>
      </c>
      <c r="K55" s="45">
        <f t="shared" si="3"/>
        <v>25017127.6626116</v>
      </c>
      <c r="L55" s="45">
        <f>IFERROR(IFERROR(INDEX('2023 IP UPL Data'!N:N,MATCH(A:A,'2023 IP UPL Data'!B:B,0)),INDEX('2023 IMD UPL Data'!M:M,MATCH(A:A,'2023 IMD UPL Data'!B:B,0))),0)</f>
        <v>7673087.3642857149</v>
      </c>
      <c r="M55" s="45">
        <f>IFERROR((IF(F55="IMD",0,INDEX('2023 OP UPL Data'!M:M,MATCH(A:A,'2023 OP UPL Data'!B:B,0)))),0)</f>
        <v>7707638.4214285715</v>
      </c>
      <c r="N55" s="45">
        <f t="shared" si="4"/>
        <v>15380725.785714287</v>
      </c>
      <c r="O55" s="45">
        <v>30474675.580356009</v>
      </c>
      <c r="P55" s="45">
        <v>11787198.674311779</v>
      </c>
      <c r="Q55" s="45">
        <f t="shared" si="5"/>
        <v>42261874.254667789</v>
      </c>
      <c r="R55" s="45" t="str">
        <f t="shared" si="6"/>
        <v>Yes</v>
      </c>
      <c r="S55" s="46" t="str">
        <f t="shared" si="7"/>
        <v>Yes</v>
      </c>
      <c r="T55" s="47">
        <f>ROUND(INDEX(Summary!H:H,MATCH(H:H,Summary!A:A,0)),2)</f>
        <v>0.43</v>
      </c>
      <c r="U55" s="47">
        <f>ROUND(INDEX(Summary!I:I,MATCH(H:H,Summary!A:A,0)),2)</f>
        <v>1.18</v>
      </c>
      <c r="V55" s="85">
        <f t="shared" si="8"/>
        <v>5993655.541395057</v>
      </c>
      <c r="W55" s="85">
        <f t="shared" si="9"/>
        <v>13072504.737588275</v>
      </c>
      <c r="X55" s="45">
        <f t="shared" si="10"/>
        <v>19066160.278983332</v>
      </c>
      <c r="Y55" s="45" t="s">
        <v>3223</v>
      </c>
      <c r="Z55" s="45" t="str">
        <f t="shared" si="11"/>
        <v>Yes</v>
      </c>
      <c r="AA55" s="45" t="str">
        <f t="shared" si="12"/>
        <v>No</v>
      </c>
      <c r="AB55" s="45" t="str">
        <f t="shared" si="13"/>
        <v>Yes</v>
      </c>
      <c r="AC55" s="86">
        <f t="shared" si="31"/>
        <v>1.22</v>
      </c>
      <c r="AD55" s="86">
        <f t="shared" si="32"/>
        <v>0</v>
      </c>
      <c r="AE55" s="45">
        <f t="shared" si="33"/>
        <v>17005255.256981324</v>
      </c>
      <c r="AF55" s="45">
        <f t="shared" si="14"/>
        <v>0</v>
      </c>
      <c r="AG55" s="45">
        <f t="shared" si="15"/>
        <v>17005255.256981324</v>
      </c>
      <c r="AH55" s="47">
        <f>IF(Y55="No",0,IFERROR(ROUNDDOWN(INDEX('90% of ACR'!K:K,MATCH(H:H,'90% of ACR'!A:A,0))*IF(I55&gt;0,IF(O55&gt;0,$R$4*MAX(O55-V55,0),0),0)/I55,2),0))</f>
        <v>1.22</v>
      </c>
      <c r="AI55" s="86">
        <f>IF(Y55="No",0,IFERROR(ROUNDDOWN(INDEX('90% of ACR'!R:R,MATCH(H:H,'90% of ACR'!A:A,0))*IF(J55&gt;0,IF(P55&gt;0,$R$4*MAX(P55-W55,0),0),0)/J55,2),0))</f>
        <v>0</v>
      </c>
      <c r="AJ55" s="45">
        <f t="shared" si="16"/>
        <v>17005255.256981324</v>
      </c>
      <c r="AK55" s="45">
        <f t="shared" si="17"/>
        <v>0</v>
      </c>
      <c r="AL55" s="47">
        <f t="shared" si="18"/>
        <v>1.65</v>
      </c>
      <c r="AM55" s="47">
        <f t="shared" si="19"/>
        <v>1.18</v>
      </c>
      <c r="AN55" s="87">
        <f>IFERROR(INDEX(FeeCalc!P:P,MATCH(C55,FeeCalc!F:F,0)),0)</f>
        <v>36071415.535964653</v>
      </c>
      <c r="AO55" s="87">
        <f>IFERROR(INDEX(FeeCalc!S:S,MATCH(C55,FeeCalc!F:F,0)),0)</f>
        <v>2239884.6154300533</v>
      </c>
      <c r="AP55" s="87">
        <f t="shared" si="20"/>
        <v>38311300.15139471</v>
      </c>
      <c r="AQ55" s="72">
        <f t="shared" si="21"/>
        <v>16256710.615841622</v>
      </c>
      <c r="AR55" s="72">
        <f t="shared" si="22"/>
        <v>8128355.3079208108</v>
      </c>
      <c r="AS55" s="72">
        <f t="shared" si="23"/>
        <v>8128355.3079208108</v>
      </c>
      <c r="AT55" s="72">
        <f>IFERROR(IFERROR(INDEX('2023 IP UPL Data'!L:L,MATCH(A:A,'2023 IP UPL Data'!B:B,0)),INDEX('2023 IMD UPL Data'!I:I,MATCH(A:A,'2023 IMD UPL Data'!B:B,0))),0)</f>
        <v>11680897.205714285</v>
      </c>
      <c r="AU55" s="72">
        <f>IFERROR(IF(F53="IMD",0,INDEX('2023 OP UPL Data'!J:J,MATCH(A:A,'2023 OP UPL Data'!B:B,0))),0)</f>
        <v>5734227.3485714281</v>
      </c>
      <c r="AV55" s="45">
        <f t="shared" si="24"/>
        <v>17415124.554285713</v>
      </c>
      <c r="AW55" s="72">
        <f>IFERROR(IFERROR(INDEX('2023 IP UPL Data'!M:M,MATCH(A:A,'2023 IP UPL Data'!B:B,0)),INDEX('2023 IMD UPL Data'!K:K,MATCH(A:A,'2023 IMD UPL Data'!B:B,0))),0)</f>
        <v>19353984.57</v>
      </c>
      <c r="AX55" s="72">
        <f>IFERROR(IF(F53="IMD",0,INDEX('2023 OP UPL Data'!L:L,MATCH(A:A,'2023 OP UPL Data'!B:B,0))),0)</f>
        <v>13441865.77</v>
      </c>
      <c r="AY55" s="45">
        <f t="shared" si="25"/>
        <v>32795850.34</v>
      </c>
      <c r="AZ55" s="72">
        <v>42155572.786070295</v>
      </c>
      <c r="BA55" s="72">
        <v>17521426.022883207</v>
      </c>
      <c r="BB55" s="72">
        <f t="shared" si="26"/>
        <v>36161917.244675234</v>
      </c>
      <c r="BC55" s="72">
        <f t="shared" si="27"/>
        <v>4448921.2852949314</v>
      </c>
      <c r="BD55" s="72">
        <f t="shared" si="28"/>
        <v>40610838.529970169</v>
      </c>
      <c r="BE55" s="94">
        <f t="shared" si="29"/>
        <v>22801588.216070294</v>
      </c>
      <c r="BF55" s="94">
        <f t="shared" si="30"/>
        <v>4079560.2528832071</v>
      </c>
      <c r="BG55" s="73">
        <f>IFERROR(INDEX('2023 IP UPL Data'!K:K,MATCH(A55,'2023 IP UPL Data'!B:B,0)),0)</f>
        <v>0</v>
      </c>
    </row>
    <row r="56" spans="1:59">
      <c r="A56" s="124" t="s">
        <v>3079</v>
      </c>
      <c r="B56" s="149" t="s">
        <v>3079</v>
      </c>
      <c r="C56" s="31" t="s">
        <v>3080</v>
      </c>
      <c r="D56" s="181" t="s">
        <v>3080</v>
      </c>
      <c r="E56" s="144" t="s">
        <v>3387</v>
      </c>
      <c r="F56" s="120" t="s">
        <v>2768</v>
      </c>
      <c r="G56" s="120" t="s">
        <v>227</v>
      </c>
      <c r="H56" s="43" t="str">
        <f t="shared" si="2"/>
        <v>Rural MRSA West</v>
      </c>
      <c r="I56" s="45">
        <f>INDEX(FeeCalc!M:M,MATCH(C:C,FeeCalc!F:F,0))</f>
        <v>4995158.9726823699</v>
      </c>
      <c r="J56" s="45">
        <f>INDEX(FeeCalc!L:L,MATCH(C:C,FeeCalc!F:F,0))</f>
        <v>2885865.5678005246</v>
      </c>
      <c r="K56" s="45">
        <f t="shared" si="3"/>
        <v>7881024.5404828945</v>
      </c>
      <c r="L56" s="45">
        <f>IFERROR(IFERROR(INDEX('2023 IP UPL Data'!N:N,MATCH(A:A,'2023 IP UPL Data'!B:B,0)),INDEX('2023 IMD UPL Data'!M:M,MATCH(A:A,'2023 IMD UPL Data'!B:B,0))),0)</f>
        <v>-434648.19762631552</v>
      </c>
      <c r="M56" s="45">
        <f>IFERROR((IF(F56="IMD",0,INDEX('2023 OP UPL Data'!M:M,MATCH(A:A,'2023 OP UPL Data'!B:B,0)))),0)</f>
        <v>2007026.2419727892</v>
      </c>
      <c r="N56" s="45">
        <f t="shared" si="4"/>
        <v>1572378.0443464736</v>
      </c>
      <c r="O56" s="45">
        <v>487378.23835067078</v>
      </c>
      <c r="P56" s="45">
        <v>3487076.9802092891</v>
      </c>
      <c r="Q56" s="45">
        <f t="shared" si="5"/>
        <v>3974455.2185599599</v>
      </c>
      <c r="R56" s="45" t="str">
        <f t="shared" si="6"/>
        <v>Yes</v>
      </c>
      <c r="S56" s="46" t="str">
        <f t="shared" si="7"/>
        <v>Yes</v>
      </c>
      <c r="T56" s="47">
        <f>ROUND(INDEX(Summary!H:H,MATCH(H:H,Summary!A:A,0)),2)</f>
        <v>0</v>
      </c>
      <c r="U56" s="47">
        <f>ROUND(INDEX(Summary!I:I,MATCH(H:H,Summary!A:A,0)),2)</f>
        <v>0.28999999999999998</v>
      </c>
      <c r="V56" s="85">
        <f t="shared" si="8"/>
        <v>0</v>
      </c>
      <c r="W56" s="85">
        <f t="shared" si="9"/>
        <v>836901.01466215204</v>
      </c>
      <c r="X56" s="45">
        <f t="shared" si="10"/>
        <v>836901.01466215204</v>
      </c>
      <c r="Y56" s="45" t="s">
        <v>3223</v>
      </c>
      <c r="Z56" s="45" t="str">
        <f t="shared" si="11"/>
        <v>No</v>
      </c>
      <c r="AA56" s="45" t="str">
        <f t="shared" si="12"/>
        <v>Yes</v>
      </c>
      <c r="AB56" s="45" t="str">
        <f t="shared" si="13"/>
        <v>Yes</v>
      </c>
      <c r="AC56" s="86">
        <f t="shared" si="31"/>
        <v>7.0000000000000007E-2</v>
      </c>
      <c r="AD56" s="86">
        <f t="shared" si="32"/>
        <v>0.64</v>
      </c>
      <c r="AE56" s="45">
        <f t="shared" si="33"/>
        <v>349661.12808776594</v>
      </c>
      <c r="AF56" s="45">
        <f t="shared" si="14"/>
        <v>1846953.9633923359</v>
      </c>
      <c r="AG56" s="45">
        <f t="shared" si="15"/>
        <v>2196615.0914801019</v>
      </c>
      <c r="AH56" s="47">
        <f>IF(Y56="No",0,IFERROR(ROUNDDOWN(INDEX('90% of ACR'!K:K,MATCH(H:H,'90% of ACR'!A:A,0))*IF(I56&gt;0,IF(O56&gt;0,$R$4*MAX(O56-V56,0),0),0)/I56,2),0))</f>
        <v>0</v>
      </c>
      <c r="AI56" s="86">
        <f>IF(Y56="No",0,IFERROR(ROUNDDOWN(INDEX('90% of ACR'!R:R,MATCH(H:H,'90% of ACR'!A:A,0))*IF(J56&gt;0,IF(P56&gt;0,$R$4*MAX(P56-W56,0),0),0)/J56,2),0))</f>
        <v>0.63</v>
      </c>
      <c r="AJ56" s="45">
        <f t="shared" si="16"/>
        <v>0</v>
      </c>
      <c r="AK56" s="45">
        <f t="shared" si="17"/>
        <v>1818095.3077143305</v>
      </c>
      <c r="AL56" s="47">
        <f t="shared" si="18"/>
        <v>0</v>
      </c>
      <c r="AM56" s="47">
        <f t="shared" si="19"/>
        <v>0.91999999999999993</v>
      </c>
      <c r="AN56" s="87">
        <f>IFERROR(INDEX(FeeCalc!P:P,MATCH(C56,FeeCalc!F:F,0)),0)</f>
        <v>2654996.3223764827</v>
      </c>
      <c r="AO56" s="87">
        <f>IFERROR(INDEX(FeeCalc!S:S,MATCH(C56,FeeCalc!F:F,0)),0)</f>
        <v>164327.62238613848</v>
      </c>
      <c r="AP56" s="87">
        <f t="shared" si="20"/>
        <v>2819323.9447626211</v>
      </c>
      <c r="AQ56" s="72">
        <f t="shared" si="21"/>
        <v>1196329.3681290126</v>
      </c>
      <c r="AR56" s="72">
        <f t="shared" si="22"/>
        <v>598164.68406450632</v>
      </c>
      <c r="AS56" s="72">
        <f t="shared" si="23"/>
        <v>598164.68406450632</v>
      </c>
      <c r="AT56" s="72">
        <f>IFERROR(IFERROR(INDEX('2023 IP UPL Data'!L:L,MATCH(A:A,'2023 IP UPL Data'!B:B,0)),INDEX('2023 IMD UPL Data'!I:I,MATCH(A:A,'2023 IMD UPL Data'!B:B,0))),0)</f>
        <v>2925512.4476263155</v>
      </c>
      <c r="AU56" s="72">
        <f>IFERROR(IF(F54="IMD",0,INDEX('2023 OP UPL Data'!J:J,MATCH(A:A,'2023 OP UPL Data'!B:B,0))),0)</f>
        <v>1005950.5480272108</v>
      </c>
      <c r="AV56" s="45">
        <f t="shared" si="24"/>
        <v>3931462.9956535264</v>
      </c>
      <c r="AW56" s="72">
        <f>IFERROR(IFERROR(INDEX('2023 IP UPL Data'!M:M,MATCH(A:A,'2023 IP UPL Data'!B:B,0)),INDEX('2023 IMD UPL Data'!K:K,MATCH(A:A,'2023 IMD UPL Data'!B:B,0))),0)</f>
        <v>2490864.25</v>
      </c>
      <c r="AX56" s="72">
        <f>IFERROR(IF(F54="IMD",0,INDEX('2023 OP UPL Data'!L:L,MATCH(A:A,'2023 OP UPL Data'!B:B,0))),0)</f>
        <v>3012976.79</v>
      </c>
      <c r="AY56" s="45">
        <f t="shared" si="25"/>
        <v>5503841.04</v>
      </c>
      <c r="AZ56" s="72">
        <v>3412890.6859769863</v>
      </c>
      <c r="BA56" s="72">
        <v>4493027.5282365</v>
      </c>
      <c r="BB56" s="72">
        <f t="shared" si="26"/>
        <v>3412890.6859769863</v>
      </c>
      <c r="BC56" s="72">
        <f t="shared" si="27"/>
        <v>3656126.5135743478</v>
      </c>
      <c r="BD56" s="72">
        <f t="shared" si="28"/>
        <v>7069017.1995513346</v>
      </c>
      <c r="BE56" s="94">
        <f t="shared" si="29"/>
        <v>922026.43597698631</v>
      </c>
      <c r="BF56" s="94">
        <f t="shared" si="30"/>
        <v>1480050.7382365</v>
      </c>
      <c r="BG56" s="73">
        <f>IFERROR(INDEX('2023 IP UPL Data'!K:K,MATCH(A56,'2023 IP UPL Data'!B:B,0)),0)</f>
        <v>0</v>
      </c>
    </row>
    <row r="57" spans="1:59">
      <c r="A57" s="124" t="s">
        <v>155</v>
      </c>
      <c r="B57" s="149" t="s">
        <v>155</v>
      </c>
      <c r="C57" s="31" t="s">
        <v>156</v>
      </c>
      <c r="D57" s="181" t="s">
        <v>156</v>
      </c>
      <c r="E57" s="144" t="s">
        <v>3319</v>
      </c>
      <c r="F57" s="120" t="s">
        <v>2768</v>
      </c>
      <c r="G57" s="120" t="s">
        <v>227</v>
      </c>
      <c r="H57" s="43" t="str">
        <f t="shared" si="2"/>
        <v>Rural MRSA West</v>
      </c>
      <c r="I57" s="45">
        <f>INDEX(FeeCalc!M:M,MATCH(C:C,FeeCalc!F:F,0))</f>
        <v>146667.02180225521</v>
      </c>
      <c r="J57" s="45">
        <f>INDEX(FeeCalc!L:L,MATCH(C:C,FeeCalc!F:F,0))</f>
        <v>853083.41407312918</v>
      </c>
      <c r="K57" s="45">
        <f t="shared" si="3"/>
        <v>999750.43587538437</v>
      </c>
      <c r="L57" s="45">
        <f>IFERROR(IFERROR(INDEX('2023 IP UPL Data'!N:N,MATCH(A:A,'2023 IP UPL Data'!B:B,0)),INDEX('2023 IMD UPL Data'!M:M,MATCH(A:A,'2023 IMD UPL Data'!B:B,0))),0)</f>
        <v>-21413.34194863365</v>
      </c>
      <c r="M57" s="45">
        <f>IFERROR((IF(F57="IMD",0,INDEX('2023 OP UPL Data'!M:M,MATCH(A:A,'2023 OP UPL Data'!B:B,0)))),0)</f>
        <v>313898.75950000004</v>
      </c>
      <c r="N57" s="45">
        <f t="shared" si="4"/>
        <v>292485.41755136638</v>
      </c>
      <c r="O57" s="45">
        <v>-12318.498572035176</v>
      </c>
      <c r="P57" s="45">
        <v>494120.058397791</v>
      </c>
      <c r="Q57" s="45">
        <f t="shared" si="5"/>
        <v>481801.55982575583</v>
      </c>
      <c r="R57" s="45" t="str">
        <f t="shared" si="6"/>
        <v>No</v>
      </c>
      <c r="S57" s="46" t="str">
        <f t="shared" si="7"/>
        <v>Yes</v>
      </c>
      <c r="T57" s="47">
        <f>ROUND(INDEX(Summary!H:H,MATCH(H:H,Summary!A:A,0)),2)</f>
        <v>0</v>
      </c>
      <c r="U57" s="47">
        <f>ROUND(INDEX(Summary!I:I,MATCH(H:H,Summary!A:A,0)),2)</f>
        <v>0.28999999999999998</v>
      </c>
      <c r="V57" s="85">
        <f t="shared" si="8"/>
        <v>0</v>
      </c>
      <c r="W57" s="85">
        <f t="shared" si="9"/>
        <v>247394.19008120746</v>
      </c>
      <c r="X57" s="45">
        <f t="shared" si="10"/>
        <v>247394.19008120746</v>
      </c>
      <c r="Y57" s="45" t="s">
        <v>3223</v>
      </c>
      <c r="Z57" s="45" t="str">
        <f t="shared" si="11"/>
        <v>No</v>
      </c>
      <c r="AA57" s="45" t="str">
        <f t="shared" si="12"/>
        <v>Yes</v>
      </c>
      <c r="AB57" s="45" t="str">
        <f t="shared" si="13"/>
        <v>Yes</v>
      </c>
      <c r="AC57" s="86">
        <f t="shared" si="31"/>
        <v>0</v>
      </c>
      <c r="AD57" s="86">
        <f t="shared" si="32"/>
        <v>0.2</v>
      </c>
      <c r="AE57" s="45">
        <f t="shared" si="33"/>
        <v>0</v>
      </c>
      <c r="AF57" s="45">
        <f t="shared" si="14"/>
        <v>170616.68281462585</v>
      </c>
      <c r="AG57" s="45">
        <f t="shared" si="15"/>
        <v>170616.68281462585</v>
      </c>
      <c r="AH57" s="47">
        <f>IF(Y57="No",0,IFERROR(ROUNDDOWN(INDEX('90% of ACR'!K:K,MATCH(H:H,'90% of ACR'!A:A,0))*IF(I57&gt;0,IF(O57&gt;0,$R$4*MAX(O57-V57,0),0),0)/I57,2),0))</f>
        <v>0</v>
      </c>
      <c r="AI57" s="86">
        <f>IF(Y57="No",0,IFERROR(ROUNDDOWN(INDEX('90% of ACR'!R:R,MATCH(H:H,'90% of ACR'!A:A,0))*IF(J57&gt;0,IF(P57&gt;0,$R$4*MAX(P57-W57,0),0),0)/J57,2),0))</f>
        <v>0.19</v>
      </c>
      <c r="AJ57" s="45">
        <f t="shared" si="16"/>
        <v>0</v>
      </c>
      <c r="AK57" s="45">
        <f t="shared" si="17"/>
        <v>162085.84867389454</v>
      </c>
      <c r="AL57" s="47">
        <f t="shared" si="18"/>
        <v>0</v>
      </c>
      <c r="AM57" s="47">
        <f t="shared" si="19"/>
        <v>0.48</v>
      </c>
      <c r="AN57" s="87">
        <f>IFERROR(INDEX(FeeCalc!P:P,MATCH(C57,FeeCalc!F:F,0)),0)</f>
        <v>409480.03875510197</v>
      </c>
      <c r="AO57" s="87">
        <f>IFERROR(INDEX(FeeCalc!S:S,MATCH(C57,FeeCalc!F:F,0)),0)</f>
        <v>25285.431941859508</v>
      </c>
      <c r="AP57" s="87">
        <f t="shared" si="20"/>
        <v>434765.47069696145</v>
      </c>
      <c r="AQ57" s="72">
        <f t="shared" si="21"/>
        <v>184484.90171178305</v>
      </c>
      <c r="AR57" s="72">
        <f t="shared" si="22"/>
        <v>92242.450855891526</v>
      </c>
      <c r="AS57" s="72">
        <f t="shared" si="23"/>
        <v>92242.450855891526</v>
      </c>
      <c r="AT57" s="72">
        <f>IFERROR(IFERROR(INDEX('2023 IP UPL Data'!L:L,MATCH(A:A,'2023 IP UPL Data'!B:B,0)),INDEX('2023 IMD UPL Data'!I:I,MATCH(A:A,'2023 IMD UPL Data'!B:B,0))),0)</f>
        <v>62666.251948633653</v>
      </c>
      <c r="AU57" s="72">
        <f>IFERROR(IF(F55="IMD",0,INDEX('2023 OP UPL Data'!J:J,MATCH(A:A,'2023 OP UPL Data'!B:B,0))),0)</f>
        <v>359661.03049999999</v>
      </c>
      <c r="AV57" s="45">
        <f t="shared" si="24"/>
        <v>422327.28244863363</v>
      </c>
      <c r="AW57" s="72">
        <f>IFERROR(IFERROR(INDEX('2023 IP UPL Data'!M:M,MATCH(A:A,'2023 IP UPL Data'!B:B,0)),INDEX('2023 IMD UPL Data'!K:K,MATCH(A:A,'2023 IMD UPL Data'!B:B,0))),0)</f>
        <v>41252.910000000003</v>
      </c>
      <c r="AX57" s="72">
        <f>IFERROR(IF(F55="IMD",0,INDEX('2023 OP UPL Data'!L:L,MATCH(A:A,'2023 OP UPL Data'!B:B,0))),0)</f>
        <v>673559.79</v>
      </c>
      <c r="AY57" s="45">
        <f t="shared" si="25"/>
        <v>714812.70000000007</v>
      </c>
      <c r="AZ57" s="72">
        <v>50347.753376598477</v>
      </c>
      <c r="BA57" s="72">
        <v>853781.08889779099</v>
      </c>
      <c r="BB57" s="72">
        <f t="shared" si="26"/>
        <v>50347.753376598477</v>
      </c>
      <c r="BC57" s="72">
        <f t="shared" si="27"/>
        <v>606386.89881658356</v>
      </c>
      <c r="BD57" s="72">
        <f t="shared" si="28"/>
        <v>656734.65219318203</v>
      </c>
      <c r="BE57" s="94">
        <f t="shared" si="29"/>
        <v>9094.8433765984737</v>
      </c>
      <c r="BF57" s="94">
        <f t="shared" si="30"/>
        <v>180221.29889779096</v>
      </c>
      <c r="BG57" s="73">
        <f>IFERROR(INDEX('2023 IP UPL Data'!K:K,MATCH(A57,'2023 IP UPL Data'!B:B,0)),0)</f>
        <v>0</v>
      </c>
    </row>
    <row r="58" spans="1:59">
      <c r="A58" s="124" t="s">
        <v>1025</v>
      </c>
      <c r="B58" s="149" t="s">
        <v>1025</v>
      </c>
      <c r="C58" s="31" t="s">
        <v>1026</v>
      </c>
      <c r="D58" s="181" t="s">
        <v>1026</v>
      </c>
      <c r="E58" s="144" t="s">
        <v>2988</v>
      </c>
      <c r="F58" s="120" t="s">
        <v>2768</v>
      </c>
      <c r="G58" s="120" t="s">
        <v>1202</v>
      </c>
      <c r="H58" s="43" t="str">
        <f t="shared" si="2"/>
        <v>Rural Travis</v>
      </c>
      <c r="I58" s="45">
        <f>INDEX(FeeCalc!M:M,MATCH(C:C,FeeCalc!F:F,0))</f>
        <v>10961972.210623313</v>
      </c>
      <c r="J58" s="45">
        <f>INDEX(FeeCalc!L:L,MATCH(C:C,FeeCalc!F:F,0))</f>
        <v>432.95465591376916</v>
      </c>
      <c r="K58" s="45">
        <f t="shared" si="3"/>
        <v>10962405.165279226</v>
      </c>
      <c r="L58" s="45">
        <f>IFERROR(IFERROR(INDEX('2023 IP UPL Data'!N:N,MATCH(A:A,'2023 IP UPL Data'!B:B,0)),INDEX('2023 IMD UPL Data'!M:M,MATCH(A:A,'2023 IMD UPL Data'!B:B,0))),0)</f>
        <v>49080.103483656596</v>
      </c>
      <c r="M58" s="45">
        <f>IFERROR((IF(F58="IMD",0,INDEX('2023 OP UPL Data'!M:M,MATCH(A:A,'2023 OP UPL Data'!B:B,0)))),0)</f>
        <v>-419990.73797468352</v>
      </c>
      <c r="N58" s="45">
        <f t="shared" si="4"/>
        <v>-370910.63449102693</v>
      </c>
      <c r="O58" s="45">
        <v>527064.09891254536</v>
      </c>
      <c r="P58" s="45">
        <v>1343281.2481474057</v>
      </c>
      <c r="Q58" s="45">
        <f t="shared" si="5"/>
        <v>1870345.3470599512</v>
      </c>
      <c r="R58" s="45" t="str">
        <f t="shared" si="6"/>
        <v>Yes</v>
      </c>
      <c r="S58" s="46" t="str">
        <f t="shared" si="7"/>
        <v>Yes</v>
      </c>
      <c r="T58" s="47">
        <f>ROUND(INDEX(Summary!H:H,MATCH(H:H,Summary!A:A,0)),2)</f>
        <v>0</v>
      </c>
      <c r="U58" s="47">
        <f>ROUND(INDEX(Summary!I:I,MATCH(H:H,Summary!A:A,0)),2)</f>
        <v>0.17</v>
      </c>
      <c r="V58" s="85">
        <f t="shared" si="8"/>
        <v>0</v>
      </c>
      <c r="W58" s="85">
        <f t="shared" si="9"/>
        <v>73.602291505340759</v>
      </c>
      <c r="X58" s="45">
        <f t="shared" si="10"/>
        <v>73.602291505340759</v>
      </c>
      <c r="Y58" s="45" t="s">
        <v>3223</v>
      </c>
      <c r="Z58" s="45" t="str">
        <f t="shared" si="11"/>
        <v>Yes</v>
      </c>
      <c r="AA58" s="45" t="str">
        <f t="shared" si="12"/>
        <v>Yes</v>
      </c>
      <c r="AB58" s="45" t="str">
        <f t="shared" si="13"/>
        <v>Yes</v>
      </c>
      <c r="AC58" s="86">
        <f t="shared" si="31"/>
        <v>0.03</v>
      </c>
      <c r="AD58" s="86">
        <f t="shared" si="32"/>
        <v>2161.27</v>
      </c>
      <c r="AE58" s="45">
        <f t="shared" si="33"/>
        <v>328859.16631869937</v>
      </c>
      <c r="AF58" s="45">
        <f t="shared" si="14"/>
        <v>935731.90918675181</v>
      </c>
      <c r="AG58" s="45">
        <f t="shared" si="15"/>
        <v>1264591.0755054513</v>
      </c>
      <c r="AH58" s="47">
        <f>IF(Y58="No",0,IFERROR(ROUNDDOWN(INDEX('90% of ACR'!K:K,MATCH(H:H,'90% of ACR'!A:A,0))*IF(I58&gt;0,IF(O58&gt;0,$R$4*MAX(O58-V58,0),0),0)/I58,2),0))</f>
        <v>0.03</v>
      </c>
      <c r="AI58" s="86">
        <f>IF(Y58="No",0,IFERROR(ROUNDDOWN(INDEX('90% of ACR'!R:R,MATCH(H:H,'90% of ACR'!A:A,0))*IF(J58&gt;0,IF(P58&gt;0,$R$4*MAX(P58-W58,0),0),0)/J58,2),0))</f>
        <v>2161.27</v>
      </c>
      <c r="AJ58" s="45">
        <f t="shared" si="16"/>
        <v>328859.16631869937</v>
      </c>
      <c r="AK58" s="45">
        <f t="shared" si="17"/>
        <v>935731.90918675181</v>
      </c>
      <c r="AL58" s="47">
        <f t="shared" si="18"/>
        <v>0.03</v>
      </c>
      <c r="AM58" s="47">
        <f t="shared" si="19"/>
        <v>2161.44</v>
      </c>
      <c r="AN58" s="87">
        <f>IFERROR(INDEX(FeeCalc!P:P,MATCH(C58,FeeCalc!F:F,0)),0)</f>
        <v>1264664.6777969566</v>
      </c>
      <c r="AO58" s="87">
        <f>IFERROR(INDEX(FeeCalc!S:S,MATCH(C58,FeeCalc!F:F,0)),0)</f>
        <v>77518.693183334472</v>
      </c>
      <c r="AP58" s="87">
        <f t="shared" si="20"/>
        <v>1342183.3709802912</v>
      </c>
      <c r="AQ58" s="72">
        <f t="shared" si="21"/>
        <v>569531.35417480906</v>
      </c>
      <c r="AR58" s="72">
        <f t="shared" si="22"/>
        <v>284765.67708740453</v>
      </c>
      <c r="AS58" s="72">
        <f t="shared" si="23"/>
        <v>284765.67708740453</v>
      </c>
      <c r="AT58" s="72">
        <f>IFERROR(IFERROR(INDEX('2023 IP UPL Data'!L:L,MATCH(A:A,'2023 IP UPL Data'!B:B,0)),INDEX('2023 IMD UPL Data'!I:I,MATCH(A:A,'2023 IMD UPL Data'!B:B,0))),0)</f>
        <v>279990.34651634342</v>
      </c>
      <c r="AU58" s="72">
        <f>IFERROR(IF(F56="IMD",0,INDEX('2023 OP UPL Data'!J:J,MATCH(A:A,'2023 OP UPL Data'!B:B,0))),0)</f>
        <v>419990.73797468352</v>
      </c>
      <c r="AV58" s="45">
        <f t="shared" si="24"/>
        <v>699981.08449102694</v>
      </c>
      <c r="AW58" s="72">
        <f>IFERROR(IFERROR(INDEX('2023 IP UPL Data'!M:M,MATCH(A:A,'2023 IP UPL Data'!B:B,0)),INDEX('2023 IMD UPL Data'!K:K,MATCH(A:A,'2023 IMD UPL Data'!B:B,0))),0)</f>
        <v>329070.45</v>
      </c>
      <c r="AX58" s="72">
        <f>IFERROR(IF(F56="IMD",0,INDEX('2023 OP UPL Data'!L:L,MATCH(A:A,'2023 OP UPL Data'!B:B,0))),0)</f>
        <v>0</v>
      </c>
      <c r="AY58" s="45">
        <f t="shared" si="25"/>
        <v>329070.45</v>
      </c>
      <c r="AZ58" s="72">
        <v>807054.44542888878</v>
      </c>
      <c r="BA58" s="72">
        <v>1763271.9861220892</v>
      </c>
      <c r="BB58" s="72">
        <f t="shared" si="26"/>
        <v>807054.44542888878</v>
      </c>
      <c r="BC58" s="72">
        <f t="shared" si="27"/>
        <v>1763198.3838305839</v>
      </c>
      <c r="BD58" s="72">
        <f t="shared" si="28"/>
        <v>2570252.8292594724</v>
      </c>
      <c r="BE58" s="94">
        <f t="shared" si="29"/>
        <v>477983.99542888877</v>
      </c>
      <c r="BF58" s="94">
        <f t="shared" si="30"/>
        <v>1763271.9861220892</v>
      </c>
      <c r="BG58" s="73">
        <f>IFERROR(INDEX('2023 IP UPL Data'!K:K,MATCH(A58,'2023 IP UPL Data'!B:B,0)),0)</f>
        <v>0</v>
      </c>
    </row>
    <row r="59" spans="1:59">
      <c r="A59" s="124" t="s">
        <v>1019</v>
      </c>
      <c r="B59" s="149" t="s">
        <v>1019</v>
      </c>
      <c r="C59" s="31" t="s">
        <v>1020</v>
      </c>
      <c r="D59" s="181" t="s">
        <v>1020</v>
      </c>
      <c r="E59" s="144" t="s">
        <v>3142</v>
      </c>
      <c r="F59" s="120" t="s">
        <v>2768</v>
      </c>
      <c r="G59" s="120" t="s">
        <v>1202</v>
      </c>
      <c r="H59" s="43" t="str">
        <f t="shared" si="2"/>
        <v>Rural Travis</v>
      </c>
      <c r="I59" s="45">
        <f>INDEX(FeeCalc!M:M,MATCH(C:C,FeeCalc!F:F,0))</f>
        <v>1918196.2833158374</v>
      </c>
      <c r="J59" s="45">
        <f>INDEX(FeeCalc!L:L,MATCH(C:C,FeeCalc!F:F,0))</f>
        <v>691.70090526932063</v>
      </c>
      <c r="K59" s="45">
        <f t="shared" si="3"/>
        <v>1918887.9842211066</v>
      </c>
      <c r="L59" s="45">
        <f>IFERROR(IFERROR(INDEX('2023 IP UPL Data'!N:N,MATCH(A:A,'2023 IP UPL Data'!B:B,0)),INDEX('2023 IMD UPL Data'!M:M,MATCH(A:A,'2023 IMD UPL Data'!B:B,0))),0)</f>
        <v>37434.055845620576</v>
      </c>
      <c r="M59" s="45">
        <f>IFERROR((IF(F59="IMD",0,INDEX('2023 OP UPL Data'!M:M,MATCH(A:A,'2023 OP UPL Data'!B:B,0)))),0)</f>
        <v>-304198.8327848101</v>
      </c>
      <c r="N59" s="45">
        <f t="shared" si="4"/>
        <v>-266764.77693918953</v>
      </c>
      <c r="O59" s="45">
        <v>713047.51007750269</v>
      </c>
      <c r="P59" s="45">
        <v>1205163.8162156923</v>
      </c>
      <c r="Q59" s="45">
        <f t="shared" si="5"/>
        <v>1918211.3262931951</v>
      </c>
      <c r="R59" s="45" t="str">
        <f t="shared" si="6"/>
        <v>Yes</v>
      </c>
      <c r="S59" s="46" t="str">
        <f t="shared" si="7"/>
        <v>Yes</v>
      </c>
      <c r="T59" s="47">
        <f>ROUND(INDEX(Summary!H:H,MATCH(H:H,Summary!A:A,0)),2)</f>
        <v>0</v>
      </c>
      <c r="U59" s="47">
        <f>ROUND(INDEX(Summary!I:I,MATCH(H:H,Summary!A:A,0)),2)</f>
        <v>0.17</v>
      </c>
      <c r="V59" s="85">
        <f t="shared" si="8"/>
        <v>0</v>
      </c>
      <c r="W59" s="85">
        <f t="shared" si="9"/>
        <v>117.58915389578452</v>
      </c>
      <c r="X59" s="45">
        <f t="shared" si="10"/>
        <v>117.58915389578452</v>
      </c>
      <c r="Y59" s="45" t="s">
        <v>3223</v>
      </c>
      <c r="Z59" s="45" t="str">
        <f t="shared" si="11"/>
        <v>Yes</v>
      </c>
      <c r="AA59" s="45" t="str">
        <f t="shared" si="12"/>
        <v>Yes</v>
      </c>
      <c r="AB59" s="45" t="str">
        <f t="shared" si="13"/>
        <v>Yes</v>
      </c>
      <c r="AC59" s="86">
        <f t="shared" si="31"/>
        <v>0.26</v>
      </c>
      <c r="AD59" s="86">
        <f t="shared" si="32"/>
        <v>1213.6500000000001</v>
      </c>
      <c r="AE59" s="45">
        <f t="shared" si="33"/>
        <v>498731.03366211773</v>
      </c>
      <c r="AF59" s="45">
        <f t="shared" si="14"/>
        <v>839482.80368011107</v>
      </c>
      <c r="AG59" s="45">
        <f t="shared" si="15"/>
        <v>1338213.8373422287</v>
      </c>
      <c r="AH59" s="47">
        <f>IF(Y59="No",0,IFERROR(ROUNDDOWN(INDEX('90% of ACR'!K:K,MATCH(H:H,'90% of ACR'!A:A,0))*IF(I59&gt;0,IF(O59&gt;0,$R$4*MAX(O59-V59,0),0),0)/I59,2),0))</f>
        <v>0.25</v>
      </c>
      <c r="AI59" s="86">
        <f>IF(Y59="No",0,IFERROR(ROUNDDOWN(INDEX('90% of ACR'!R:R,MATCH(H:H,'90% of ACR'!A:A,0))*IF(J59&gt;0,IF(P59&gt;0,$R$4*MAX(P59-W59,0),0),0)/J59,2),0))</f>
        <v>1213.6500000000001</v>
      </c>
      <c r="AJ59" s="45">
        <f t="shared" si="16"/>
        <v>479549.07082895935</v>
      </c>
      <c r="AK59" s="45">
        <f t="shared" si="17"/>
        <v>839482.80368011107</v>
      </c>
      <c r="AL59" s="47">
        <f t="shared" si="18"/>
        <v>0.25</v>
      </c>
      <c r="AM59" s="47">
        <f t="shared" si="19"/>
        <v>1213.8200000000002</v>
      </c>
      <c r="AN59" s="87">
        <f>IFERROR(INDEX(FeeCalc!P:P,MATCH(C59,FeeCalc!F:F,0)),0)</f>
        <v>1319149.4636629662</v>
      </c>
      <c r="AO59" s="87">
        <f>IFERROR(INDEX(FeeCalc!S:S,MATCH(C59,FeeCalc!F:F,0)),0)</f>
        <v>80876.034054749252</v>
      </c>
      <c r="AP59" s="87">
        <f t="shared" si="20"/>
        <v>1400025.4977177153</v>
      </c>
      <c r="AQ59" s="72">
        <f t="shared" si="21"/>
        <v>594075.61949755368</v>
      </c>
      <c r="AR59" s="72">
        <f t="shared" si="22"/>
        <v>297037.80974877684</v>
      </c>
      <c r="AS59" s="72">
        <f t="shared" si="23"/>
        <v>297037.80974877684</v>
      </c>
      <c r="AT59" s="72">
        <f>IFERROR(IFERROR(INDEX('2023 IP UPL Data'!L:L,MATCH(A:A,'2023 IP UPL Data'!B:B,0)),INDEX('2023 IMD UPL Data'!I:I,MATCH(A:A,'2023 IMD UPL Data'!B:B,0))),0)</f>
        <v>317711.31415437942</v>
      </c>
      <c r="AU59" s="72">
        <f>IFERROR(IF(F57="IMD",0,INDEX('2023 OP UPL Data'!J:J,MATCH(A:A,'2023 OP UPL Data'!B:B,0))),0)</f>
        <v>685065.36278481013</v>
      </c>
      <c r="AV59" s="45">
        <f t="shared" si="24"/>
        <v>1002776.6769391896</v>
      </c>
      <c r="AW59" s="72">
        <f>IFERROR(IFERROR(INDEX('2023 IP UPL Data'!M:M,MATCH(A:A,'2023 IP UPL Data'!B:B,0)),INDEX('2023 IMD UPL Data'!K:K,MATCH(A:A,'2023 IMD UPL Data'!B:B,0))),0)</f>
        <v>355145.37</v>
      </c>
      <c r="AX59" s="72">
        <f>IFERROR(IF(F57="IMD",0,INDEX('2023 OP UPL Data'!L:L,MATCH(A:A,'2023 OP UPL Data'!B:B,0))),0)</f>
        <v>380866.53</v>
      </c>
      <c r="AY59" s="45">
        <f t="shared" si="25"/>
        <v>736011.9</v>
      </c>
      <c r="AZ59" s="72">
        <v>1030758.8242318821</v>
      </c>
      <c r="BA59" s="72">
        <v>1890229.1790005025</v>
      </c>
      <c r="BB59" s="72">
        <f t="shared" si="26"/>
        <v>1030758.8242318821</v>
      </c>
      <c r="BC59" s="72">
        <f t="shared" si="27"/>
        <v>1890111.5898466066</v>
      </c>
      <c r="BD59" s="72">
        <f t="shared" si="28"/>
        <v>2920870.4140784889</v>
      </c>
      <c r="BE59" s="94">
        <f t="shared" si="29"/>
        <v>675613.45423188212</v>
      </c>
      <c r="BF59" s="94">
        <f t="shared" si="30"/>
        <v>1509362.6490005024</v>
      </c>
      <c r="BG59" s="73">
        <f>IFERROR(INDEX('2023 IP UPL Data'!K:K,MATCH(A59,'2023 IP UPL Data'!B:B,0)),0)</f>
        <v>0</v>
      </c>
    </row>
    <row r="60" spans="1:59" ht="25.5">
      <c r="A60" s="124" t="s">
        <v>1310</v>
      </c>
      <c r="B60" s="149" t="s">
        <v>1310</v>
      </c>
      <c r="C60" s="31" t="s">
        <v>1311</v>
      </c>
      <c r="D60" s="181" t="s">
        <v>1311</v>
      </c>
      <c r="E60" s="144" t="s">
        <v>2989</v>
      </c>
      <c r="F60" s="120" t="s">
        <v>3069</v>
      </c>
      <c r="G60" s="120" t="s">
        <v>1202</v>
      </c>
      <c r="H60" s="43" t="str">
        <f t="shared" si="2"/>
        <v>Non-state-owned IMD Travis</v>
      </c>
      <c r="I60" s="45">
        <f>INDEX(FeeCalc!M:M,MATCH(C:C,FeeCalc!F:F,0))</f>
        <v>43367.885513078276</v>
      </c>
      <c r="J60" s="45">
        <f>INDEX(FeeCalc!L:L,MATCH(C:C,FeeCalc!F:F,0))</f>
        <v>0</v>
      </c>
      <c r="K60" s="45">
        <f t="shared" si="3"/>
        <v>43367.885513078276</v>
      </c>
      <c r="L60" s="45">
        <f>IFERROR(IFERROR(INDEX('2023 IP UPL Data'!N:N,MATCH(A:A,'2023 IP UPL Data'!B:B,0)),INDEX('2023 IMD UPL Data'!M:M,MATCH(A:A,'2023 IMD UPL Data'!B:B,0))),0)</f>
        <v>0</v>
      </c>
      <c r="M60" s="45">
        <f>IFERROR((IF(F60="IMD",0,INDEX('2023 OP UPL Data'!M:M,MATCH(A:A,'2023 OP UPL Data'!B:B,0)))),0)</f>
        <v>0</v>
      </c>
      <c r="N60" s="45">
        <f t="shared" si="4"/>
        <v>0</v>
      </c>
      <c r="O60" s="45">
        <v>0</v>
      </c>
      <c r="P60" s="45">
        <v>0</v>
      </c>
      <c r="Q60" s="45">
        <f t="shared" si="5"/>
        <v>0</v>
      </c>
      <c r="R60" s="45" t="str">
        <f t="shared" si="6"/>
        <v>No</v>
      </c>
      <c r="S60" s="46" t="str">
        <f t="shared" si="7"/>
        <v>No</v>
      </c>
      <c r="T60" s="47">
        <f>ROUND(INDEX(Summary!H:H,MATCH(H:H,Summary!A:A,0)),2)</f>
        <v>0.63</v>
      </c>
      <c r="U60" s="47">
        <f>ROUND(INDEX(Summary!I:I,MATCH(H:H,Summary!A:A,0)),2)</f>
        <v>0</v>
      </c>
      <c r="V60" s="85">
        <f t="shared" si="8"/>
        <v>27321.767873239314</v>
      </c>
      <c r="W60" s="85">
        <f t="shared" si="9"/>
        <v>0</v>
      </c>
      <c r="X60" s="45">
        <f t="shared" si="10"/>
        <v>27321.767873239314</v>
      </c>
      <c r="Y60" s="45" t="s">
        <v>3223</v>
      </c>
      <c r="Z60" s="45" t="str">
        <f t="shared" si="11"/>
        <v>No</v>
      </c>
      <c r="AA60" s="45" t="str">
        <f t="shared" si="12"/>
        <v>No</v>
      </c>
      <c r="AB60" s="45" t="str">
        <f t="shared" si="13"/>
        <v>No</v>
      </c>
      <c r="AC60" s="86">
        <f t="shared" si="31"/>
        <v>0</v>
      </c>
      <c r="AD60" s="86">
        <f t="shared" si="32"/>
        <v>0</v>
      </c>
      <c r="AE60" s="45">
        <f t="shared" si="33"/>
        <v>0</v>
      </c>
      <c r="AF60" s="45">
        <f t="shared" si="14"/>
        <v>0</v>
      </c>
      <c r="AG60" s="45">
        <f t="shared" si="15"/>
        <v>0</v>
      </c>
      <c r="AH60" s="47">
        <f>IF(Y60="No",0,IFERROR(ROUNDDOWN(INDEX('90% of ACR'!K:K,MATCH(H:H,'90% of ACR'!A:A,0))*IF(I60&gt;0,IF(O60&gt;0,$R$4*MAX(O60-V60,0),0),0)/I60,2),0))</f>
        <v>0</v>
      </c>
      <c r="AI60" s="86">
        <f>IF(Y60="No",0,IFERROR(ROUNDDOWN(INDEX('90% of ACR'!R:R,MATCH(H:H,'90% of ACR'!A:A,0))*IF(J60&gt;0,IF(P60&gt;0,$R$4*MAX(P60-W60,0),0),0)/J60,2),0))</f>
        <v>0</v>
      </c>
      <c r="AJ60" s="45">
        <f t="shared" si="16"/>
        <v>0</v>
      </c>
      <c r="AK60" s="45">
        <f t="shared" si="17"/>
        <v>0</v>
      </c>
      <c r="AL60" s="47">
        <f t="shared" si="18"/>
        <v>0.63</v>
      </c>
      <c r="AM60" s="47">
        <f t="shared" si="19"/>
        <v>0</v>
      </c>
      <c r="AN60" s="87">
        <f>IFERROR(INDEX(FeeCalc!P:P,MATCH(C60,FeeCalc!F:F,0)),0)</f>
        <v>27321.767873239314</v>
      </c>
      <c r="AO60" s="87">
        <f>IFERROR(INDEX(FeeCalc!S:S,MATCH(C60,FeeCalc!F:F,0)),0)</f>
        <v>1666.8452548660589</v>
      </c>
      <c r="AP60" s="87">
        <f t="shared" si="20"/>
        <v>28988.613128105375</v>
      </c>
      <c r="AQ60" s="72">
        <f t="shared" si="21"/>
        <v>12300.796185875211</v>
      </c>
      <c r="AR60" s="72">
        <f t="shared" si="22"/>
        <v>6150.3980929376057</v>
      </c>
      <c r="AS60" s="72">
        <f t="shared" si="23"/>
        <v>6150.3980929376057</v>
      </c>
      <c r="AT60" s="72">
        <f>IFERROR(IFERROR(INDEX('2023 IP UPL Data'!L:L,MATCH(A:A,'2023 IP UPL Data'!B:B,0)),INDEX('2023 IMD UPL Data'!I:I,MATCH(A:A,'2023 IMD UPL Data'!B:B,0))),0)</f>
        <v>0</v>
      </c>
      <c r="AU60" s="72">
        <f>IFERROR(IF(F58="IMD",0,INDEX('2023 OP UPL Data'!J:J,MATCH(A:A,'2023 OP UPL Data'!B:B,0))),0)</f>
        <v>0</v>
      </c>
      <c r="AV60" s="45">
        <f t="shared" si="24"/>
        <v>0</v>
      </c>
      <c r="AW60" s="72">
        <f>IFERROR(IFERROR(INDEX('2023 IP UPL Data'!M:M,MATCH(A:A,'2023 IP UPL Data'!B:B,0)),INDEX('2023 IMD UPL Data'!K:K,MATCH(A:A,'2023 IMD UPL Data'!B:B,0))),0)</f>
        <v>0</v>
      </c>
      <c r="AX60" s="72">
        <f>IFERROR(IF(F58="IMD",0,INDEX('2023 OP UPL Data'!L:L,MATCH(A:A,'2023 OP UPL Data'!B:B,0))),0)</f>
        <v>0</v>
      </c>
      <c r="AY60" s="45">
        <f t="shared" si="25"/>
        <v>0</v>
      </c>
      <c r="AZ60" s="72">
        <v>0</v>
      </c>
      <c r="BA60" s="72">
        <v>0</v>
      </c>
      <c r="BB60" s="72">
        <f t="shared" si="26"/>
        <v>0</v>
      </c>
      <c r="BC60" s="72">
        <f t="shared" si="27"/>
        <v>0</v>
      </c>
      <c r="BD60" s="72">
        <f t="shared" si="28"/>
        <v>0</v>
      </c>
      <c r="BE60" s="94">
        <f t="shared" si="29"/>
        <v>0</v>
      </c>
      <c r="BF60" s="94">
        <f t="shared" si="30"/>
        <v>0</v>
      </c>
      <c r="BG60" s="73">
        <f>IFERROR(INDEX('2023 IP UPL Data'!K:K,MATCH(A60,'2023 IP UPL Data'!B:B,0)),0)</f>
        <v>0</v>
      </c>
    </row>
    <row r="61" spans="1:59">
      <c r="A61" s="124" t="s">
        <v>983</v>
      </c>
      <c r="B61" s="149" t="s">
        <v>983</v>
      </c>
      <c r="C61" s="31" t="s">
        <v>984</v>
      </c>
      <c r="D61" s="181" t="s">
        <v>984</v>
      </c>
      <c r="E61" s="144" t="s">
        <v>2985</v>
      </c>
      <c r="F61" s="120" t="s">
        <v>2718</v>
      </c>
      <c r="G61" s="120" t="s">
        <v>1489</v>
      </c>
      <c r="H61" s="43" t="str">
        <f t="shared" si="2"/>
        <v>Urban MRSA Central</v>
      </c>
      <c r="I61" s="45">
        <f>INDEX(FeeCalc!M:M,MATCH(C:C,FeeCalc!F:F,0))</f>
        <v>7674799.4783112276</v>
      </c>
      <c r="J61" s="45">
        <f>INDEX(FeeCalc!L:L,MATCH(C:C,FeeCalc!F:F,0))</f>
        <v>3963318.3980274759</v>
      </c>
      <c r="K61" s="45">
        <f t="shared" si="3"/>
        <v>11638117.876338704</v>
      </c>
      <c r="L61" s="45">
        <f>IFERROR(IFERROR(INDEX('2023 IP UPL Data'!N:N,MATCH(A:A,'2023 IP UPL Data'!B:B,0)),INDEX('2023 IMD UPL Data'!M:M,MATCH(A:A,'2023 IMD UPL Data'!B:B,0))),0)</f>
        <v>5861864.7066272181</v>
      </c>
      <c r="M61" s="45">
        <f>IFERROR((IF(F61="IMD",0,INDEX('2023 OP UPL Data'!M:M,MATCH(A:A,'2023 OP UPL Data'!B:B,0)))),0)</f>
        <v>7196866.614260355</v>
      </c>
      <c r="N61" s="45">
        <f t="shared" si="4"/>
        <v>13058731.320887573</v>
      </c>
      <c r="O61" s="45">
        <v>9219651.8506535813</v>
      </c>
      <c r="P61" s="45">
        <v>6518334.9865959678</v>
      </c>
      <c r="Q61" s="45">
        <f t="shared" si="5"/>
        <v>15737986.837249549</v>
      </c>
      <c r="R61" s="45" t="str">
        <f t="shared" si="6"/>
        <v>Yes</v>
      </c>
      <c r="S61" s="46" t="str">
        <f t="shared" si="7"/>
        <v>Yes</v>
      </c>
      <c r="T61" s="47">
        <f>ROUND(INDEX(Summary!H:H,MATCH(H:H,Summary!A:A,0)),2)</f>
        <v>0.78</v>
      </c>
      <c r="U61" s="47">
        <f>ROUND(INDEX(Summary!I:I,MATCH(H:H,Summary!A:A,0)),2)</f>
        <v>1.29</v>
      </c>
      <c r="V61" s="85">
        <f t="shared" si="8"/>
        <v>5986343.5930827577</v>
      </c>
      <c r="W61" s="85">
        <f t="shared" si="9"/>
        <v>5112680.7334554438</v>
      </c>
      <c r="X61" s="45">
        <f t="shared" si="10"/>
        <v>11099024.326538201</v>
      </c>
      <c r="Y61" s="45" t="s">
        <v>3223</v>
      </c>
      <c r="Z61" s="45" t="str">
        <f t="shared" si="11"/>
        <v>Yes</v>
      </c>
      <c r="AA61" s="45" t="str">
        <f t="shared" si="12"/>
        <v>Yes</v>
      </c>
      <c r="AB61" s="45" t="str">
        <f t="shared" si="13"/>
        <v>Yes</v>
      </c>
      <c r="AC61" s="86">
        <f t="shared" si="31"/>
        <v>0.28999999999999998</v>
      </c>
      <c r="AD61" s="86">
        <f t="shared" si="32"/>
        <v>0.25</v>
      </c>
      <c r="AE61" s="45">
        <f t="shared" si="33"/>
        <v>2225691.8487102557</v>
      </c>
      <c r="AF61" s="45">
        <f t="shared" si="14"/>
        <v>990829.59950686898</v>
      </c>
      <c r="AG61" s="45">
        <f t="shared" si="15"/>
        <v>3216521.4482171247</v>
      </c>
      <c r="AH61" s="47">
        <f>IF(Y61="No",0,IFERROR(ROUNDDOWN(INDEX('90% of ACR'!K:K,MATCH(H:H,'90% of ACR'!A:A,0))*IF(I61&gt;0,IF(O61&gt;0,$R$4*MAX(O61-V61,0),0),0)/I61,2),0))</f>
        <v>0.28999999999999998</v>
      </c>
      <c r="AI61" s="86">
        <f>IF(Y61="No",0,IFERROR(ROUNDDOWN(INDEX('90% of ACR'!R:R,MATCH(H:H,'90% of ACR'!A:A,0))*IF(J61&gt;0,IF(P61&gt;0,$R$4*MAX(P61-W61,0),0),0)/J61,2),0))</f>
        <v>0.01</v>
      </c>
      <c r="AJ61" s="45">
        <f t="shared" si="16"/>
        <v>2225691.8487102557</v>
      </c>
      <c r="AK61" s="45">
        <f t="shared" si="17"/>
        <v>39633.183980274764</v>
      </c>
      <c r="AL61" s="47">
        <f t="shared" si="18"/>
        <v>1.07</v>
      </c>
      <c r="AM61" s="47">
        <f t="shared" si="19"/>
        <v>1.3</v>
      </c>
      <c r="AN61" s="87">
        <f>IFERROR(INDEX(FeeCalc!P:P,MATCH(C61,FeeCalc!F:F,0)),0)</f>
        <v>13364349.359228734</v>
      </c>
      <c r="AO61" s="87">
        <f>IFERROR(INDEX(FeeCalc!S:S,MATCH(C61,FeeCalc!F:F,0)),0)</f>
        <v>831720.40847127815</v>
      </c>
      <c r="AP61" s="87">
        <f t="shared" si="20"/>
        <v>14196069.767700013</v>
      </c>
      <c r="AQ61" s="72">
        <f t="shared" si="21"/>
        <v>6023846.6766676828</v>
      </c>
      <c r="AR61" s="72">
        <f t="shared" si="22"/>
        <v>3011923.3383338414</v>
      </c>
      <c r="AS61" s="72">
        <f t="shared" si="23"/>
        <v>3011923.3383338414</v>
      </c>
      <c r="AT61" s="72">
        <f>IFERROR(IFERROR(INDEX('2023 IP UPL Data'!L:L,MATCH(A:A,'2023 IP UPL Data'!B:B,0)),INDEX('2023 IMD UPL Data'!I:I,MATCH(A:A,'2023 IMD UPL Data'!B:B,0))),0)</f>
        <v>5735240.4733727816</v>
      </c>
      <c r="AU61" s="72">
        <f>IFERROR(IF(F59="IMD",0,INDEX('2023 OP UPL Data'!J:J,MATCH(A:A,'2023 OP UPL Data'!B:B,0))),0)</f>
        <v>1782288.8757396452</v>
      </c>
      <c r="AV61" s="45">
        <f t="shared" si="24"/>
        <v>7517529.3491124269</v>
      </c>
      <c r="AW61" s="72">
        <f>IFERROR(IFERROR(INDEX('2023 IP UPL Data'!M:M,MATCH(A:A,'2023 IP UPL Data'!B:B,0)),INDEX('2023 IMD UPL Data'!K:K,MATCH(A:A,'2023 IMD UPL Data'!B:B,0))),0)</f>
        <v>11597105.18</v>
      </c>
      <c r="AX61" s="72">
        <f>IFERROR(IF(F59="IMD",0,INDEX('2023 OP UPL Data'!L:L,MATCH(A:A,'2023 OP UPL Data'!B:B,0))),0)</f>
        <v>8979155.4900000002</v>
      </c>
      <c r="AY61" s="45">
        <f t="shared" si="25"/>
        <v>20576260.670000002</v>
      </c>
      <c r="AZ61" s="72">
        <v>14954892.324026363</v>
      </c>
      <c r="BA61" s="72">
        <v>8300623.862335613</v>
      </c>
      <c r="BB61" s="72">
        <f t="shared" si="26"/>
        <v>8968548.7309436053</v>
      </c>
      <c r="BC61" s="72">
        <f t="shared" si="27"/>
        <v>3187943.1288801692</v>
      </c>
      <c r="BD61" s="72">
        <f t="shared" si="28"/>
        <v>12156491.859823775</v>
      </c>
      <c r="BE61" s="94">
        <f t="shared" si="29"/>
        <v>3357787.1440263633</v>
      </c>
      <c r="BF61" s="94">
        <f t="shared" si="30"/>
        <v>0</v>
      </c>
      <c r="BG61" s="73">
        <f>IFERROR(INDEX('2023 IP UPL Data'!K:K,MATCH(A61,'2023 IP UPL Data'!B:B,0)),0)</f>
        <v>0</v>
      </c>
    </row>
    <row r="62" spans="1:59">
      <c r="A62" s="124" t="s">
        <v>1028</v>
      </c>
      <c r="B62" s="149" t="s">
        <v>1028</v>
      </c>
      <c r="C62" s="31" t="s">
        <v>1029</v>
      </c>
      <c r="D62" s="181" t="s">
        <v>1029</v>
      </c>
      <c r="E62" s="144" t="s">
        <v>2986</v>
      </c>
      <c r="F62" s="120" t="s">
        <v>2718</v>
      </c>
      <c r="G62" s="120" t="s">
        <v>1202</v>
      </c>
      <c r="H62" s="43" t="str">
        <f t="shared" si="2"/>
        <v>Urban Travis</v>
      </c>
      <c r="I62" s="45">
        <f>INDEX(FeeCalc!M:M,MATCH(C:C,FeeCalc!F:F,0))</f>
        <v>17129303.929629296</v>
      </c>
      <c r="J62" s="45">
        <f>INDEX(FeeCalc!L:L,MATCH(C:C,FeeCalc!F:F,0))</f>
        <v>5634291.4091835432</v>
      </c>
      <c r="K62" s="45">
        <f t="shared" si="3"/>
        <v>22763595.338812839</v>
      </c>
      <c r="L62" s="45">
        <f>IFERROR(IFERROR(INDEX('2023 IP UPL Data'!N:N,MATCH(A:A,'2023 IP UPL Data'!B:B,0)),INDEX('2023 IMD UPL Data'!M:M,MATCH(A:A,'2023 IMD UPL Data'!B:B,0))),0)</f>
        <v>8130468.0903797485</v>
      </c>
      <c r="M62" s="45">
        <f>IFERROR((IF(F62="IMD",0,INDEX('2023 OP UPL Data'!M:M,MATCH(A:A,'2023 OP UPL Data'!B:B,0)))),0)</f>
        <v>7171767.5477215201</v>
      </c>
      <c r="N62" s="45">
        <f t="shared" si="4"/>
        <v>15302235.638101269</v>
      </c>
      <c r="O62" s="45">
        <v>45593007.000512071</v>
      </c>
      <c r="P62" s="45">
        <v>8411197.2661003284</v>
      </c>
      <c r="Q62" s="45">
        <f t="shared" si="5"/>
        <v>54004204.266612396</v>
      </c>
      <c r="R62" s="45" t="str">
        <f t="shared" si="6"/>
        <v>Yes</v>
      </c>
      <c r="S62" s="46" t="str">
        <f t="shared" si="7"/>
        <v>Yes</v>
      </c>
      <c r="T62" s="47">
        <f>ROUND(INDEX(Summary!H:H,MATCH(H:H,Summary!A:A,0)),2)</f>
        <v>0.75</v>
      </c>
      <c r="U62" s="47">
        <f>ROUND(INDEX(Summary!I:I,MATCH(H:H,Summary!A:A,0)),2)</f>
        <v>1.83</v>
      </c>
      <c r="V62" s="85">
        <f t="shared" si="8"/>
        <v>12846977.947221972</v>
      </c>
      <c r="W62" s="85">
        <f t="shared" si="9"/>
        <v>10310753.278805884</v>
      </c>
      <c r="X62" s="45">
        <f t="shared" si="10"/>
        <v>23157731.226027854</v>
      </c>
      <c r="Y62" s="45" t="s">
        <v>3223</v>
      </c>
      <c r="Z62" s="45" t="str">
        <f t="shared" si="11"/>
        <v>Yes</v>
      </c>
      <c r="AA62" s="45" t="str">
        <f t="shared" si="12"/>
        <v>No</v>
      </c>
      <c r="AB62" s="45" t="str">
        <f t="shared" si="13"/>
        <v>Yes</v>
      </c>
      <c r="AC62" s="86">
        <f t="shared" si="31"/>
        <v>1.33</v>
      </c>
      <c r="AD62" s="86">
        <f t="shared" si="32"/>
        <v>0</v>
      </c>
      <c r="AE62" s="45">
        <f t="shared" si="33"/>
        <v>22781974.226406965</v>
      </c>
      <c r="AF62" s="45">
        <f t="shared" si="14"/>
        <v>0</v>
      </c>
      <c r="AG62" s="45">
        <f t="shared" si="15"/>
        <v>22781974.226406965</v>
      </c>
      <c r="AH62" s="47">
        <f>IF(Y62="No",0,IFERROR(ROUNDDOWN(INDEX('90% of ACR'!K:K,MATCH(H:H,'90% of ACR'!A:A,0))*IF(I62&gt;0,IF(O62&gt;0,$R$4*MAX(O62-V62,0),0),0)/I62,2),0))</f>
        <v>1.33</v>
      </c>
      <c r="AI62" s="86">
        <f>IF(Y62="No",0,IFERROR(ROUNDDOWN(INDEX('90% of ACR'!R:R,MATCH(H:H,'90% of ACR'!A:A,0))*IF(J62&gt;0,IF(P62&gt;0,$R$4*MAX(P62-W62,0),0),0)/J62,2),0))</f>
        <v>0</v>
      </c>
      <c r="AJ62" s="45">
        <f t="shared" si="16"/>
        <v>22781974.226406965</v>
      </c>
      <c r="AK62" s="45">
        <f t="shared" si="17"/>
        <v>0</v>
      </c>
      <c r="AL62" s="47">
        <f t="shared" si="18"/>
        <v>2.08</v>
      </c>
      <c r="AM62" s="47">
        <f t="shared" si="19"/>
        <v>1.83</v>
      </c>
      <c r="AN62" s="87">
        <f>IFERROR(INDEX(FeeCalc!P:P,MATCH(C62,FeeCalc!F:F,0)),0)</f>
        <v>45939705.452434815</v>
      </c>
      <c r="AO62" s="87">
        <f>IFERROR(INDEX(FeeCalc!S:S,MATCH(C62,FeeCalc!F:F,0)),0)</f>
        <v>2837240.4186529997</v>
      </c>
      <c r="AP62" s="87">
        <f t="shared" si="20"/>
        <v>48776945.871087812</v>
      </c>
      <c r="AQ62" s="72">
        <f t="shared" si="21"/>
        <v>20697618.995370436</v>
      </c>
      <c r="AR62" s="72">
        <f t="shared" si="22"/>
        <v>10348809.497685218</v>
      </c>
      <c r="AS62" s="72">
        <f t="shared" si="23"/>
        <v>10348809.497685218</v>
      </c>
      <c r="AT62" s="72">
        <f>IFERROR(IFERROR(INDEX('2023 IP UPL Data'!L:L,MATCH(A:A,'2023 IP UPL Data'!B:B,0)),INDEX('2023 IMD UPL Data'!I:I,MATCH(A:A,'2023 IMD UPL Data'!B:B,0))),0)</f>
        <v>20434750.069620252</v>
      </c>
      <c r="AU62" s="72">
        <f>IFERROR(IF(F60="IMD",0,INDEX('2023 OP UPL Data'!J:J,MATCH(A:A,'2023 OP UPL Data'!B:B,0))),0)</f>
        <v>4388490.5822784808</v>
      </c>
      <c r="AV62" s="45">
        <f t="shared" si="24"/>
        <v>24823240.651898734</v>
      </c>
      <c r="AW62" s="72">
        <f>IFERROR(IFERROR(INDEX('2023 IP UPL Data'!M:M,MATCH(A:A,'2023 IP UPL Data'!B:B,0)),INDEX('2023 IMD UPL Data'!K:K,MATCH(A:A,'2023 IMD UPL Data'!B:B,0))),0)</f>
        <v>28565218.16</v>
      </c>
      <c r="AX62" s="72">
        <f>IFERROR(IF(F60="IMD",0,INDEX('2023 OP UPL Data'!L:L,MATCH(A:A,'2023 OP UPL Data'!B:B,0))),0)</f>
        <v>11560258.130000001</v>
      </c>
      <c r="AY62" s="45">
        <f t="shared" si="25"/>
        <v>40125476.289999999</v>
      </c>
      <c r="AZ62" s="72">
        <v>66027757.070132323</v>
      </c>
      <c r="BA62" s="72">
        <v>12799687.848378809</v>
      </c>
      <c r="BB62" s="72">
        <f t="shared" si="26"/>
        <v>53180779.122910351</v>
      </c>
      <c r="BC62" s="72">
        <f t="shared" si="27"/>
        <v>2488934.5695729256</v>
      </c>
      <c r="BD62" s="72">
        <f t="shared" si="28"/>
        <v>55669713.692483284</v>
      </c>
      <c r="BE62" s="94">
        <f t="shared" si="29"/>
        <v>37462538.910132319</v>
      </c>
      <c r="BF62" s="94">
        <f t="shared" si="30"/>
        <v>1239429.7183788083</v>
      </c>
      <c r="BG62" s="73">
        <f>IFERROR(INDEX('2023 IP UPL Data'!K:K,MATCH(A62,'2023 IP UPL Data'!B:B,0)),0)</f>
        <v>0</v>
      </c>
    </row>
    <row r="63" spans="1:59">
      <c r="A63" s="124" t="s">
        <v>1022</v>
      </c>
      <c r="B63" s="149" t="s">
        <v>1022</v>
      </c>
      <c r="C63" s="31" t="s">
        <v>1023</v>
      </c>
      <c r="D63" s="181" t="s">
        <v>1023</v>
      </c>
      <c r="E63" s="144" t="s">
        <v>2995</v>
      </c>
      <c r="F63" s="120" t="s">
        <v>2718</v>
      </c>
      <c r="G63" s="120" t="s">
        <v>1202</v>
      </c>
      <c r="H63" s="43" t="str">
        <f t="shared" si="2"/>
        <v>Urban Travis</v>
      </c>
      <c r="I63" s="45">
        <f>INDEX(FeeCalc!M:M,MATCH(C:C,FeeCalc!F:F,0))</f>
        <v>10425462.334904937</v>
      </c>
      <c r="J63" s="45">
        <f>INDEX(FeeCalc!L:L,MATCH(C:C,FeeCalc!F:F,0))</f>
        <v>2579743.7491364521</v>
      </c>
      <c r="K63" s="45">
        <f t="shared" si="3"/>
        <v>13005206.084041389</v>
      </c>
      <c r="L63" s="45">
        <f>IFERROR(IFERROR(INDEX('2023 IP UPL Data'!N:N,MATCH(A:A,'2023 IP UPL Data'!B:B,0)),INDEX('2023 IMD UPL Data'!M:M,MATCH(A:A,'2023 IMD UPL Data'!B:B,0))),0)</f>
        <v>18508386.268181823</v>
      </c>
      <c r="M63" s="45">
        <f>IFERROR((IF(F63="IMD",0,INDEX('2023 OP UPL Data'!M:M,MATCH(A:A,'2023 OP UPL Data'!B:B,0)))),0)</f>
        <v>3733936.9709090912</v>
      </c>
      <c r="N63" s="45">
        <f t="shared" si="4"/>
        <v>22242323.239090916</v>
      </c>
      <c r="O63" s="45">
        <v>22989230.091086961</v>
      </c>
      <c r="P63" s="45">
        <v>4620388.161821818</v>
      </c>
      <c r="Q63" s="45">
        <f t="shared" si="5"/>
        <v>27609618.252908781</v>
      </c>
      <c r="R63" s="45" t="str">
        <f t="shared" si="6"/>
        <v>Yes</v>
      </c>
      <c r="S63" s="46" t="str">
        <f t="shared" si="7"/>
        <v>Yes</v>
      </c>
      <c r="T63" s="47">
        <f>ROUND(INDEX(Summary!H:H,MATCH(H:H,Summary!A:A,0)),2)</f>
        <v>0.75</v>
      </c>
      <c r="U63" s="47">
        <f>ROUND(INDEX(Summary!I:I,MATCH(H:H,Summary!A:A,0)),2)</f>
        <v>1.83</v>
      </c>
      <c r="V63" s="85">
        <f t="shared" si="8"/>
        <v>7819096.7511787023</v>
      </c>
      <c r="W63" s="85">
        <f t="shared" si="9"/>
        <v>4720931.0609197076</v>
      </c>
      <c r="X63" s="45">
        <f t="shared" si="10"/>
        <v>12540027.81209841</v>
      </c>
      <c r="Y63" s="45" t="s">
        <v>3223</v>
      </c>
      <c r="Z63" s="45" t="str">
        <f t="shared" si="11"/>
        <v>Yes</v>
      </c>
      <c r="AA63" s="45" t="str">
        <f t="shared" si="12"/>
        <v>No</v>
      </c>
      <c r="AB63" s="45" t="str">
        <f t="shared" si="13"/>
        <v>Yes</v>
      </c>
      <c r="AC63" s="86">
        <f t="shared" si="31"/>
        <v>1.01</v>
      </c>
      <c r="AD63" s="86">
        <f t="shared" si="32"/>
        <v>0</v>
      </c>
      <c r="AE63" s="45">
        <f t="shared" si="33"/>
        <v>10529716.958253987</v>
      </c>
      <c r="AF63" s="45">
        <f t="shared" si="14"/>
        <v>0</v>
      </c>
      <c r="AG63" s="45">
        <f t="shared" si="15"/>
        <v>10529716.958253987</v>
      </c>
      <c r="AH63" s="47">
        <f>IF(Y63="No",0,IFERROR(ROUNDDOWN(INDEX('90% of ACR'!K:K,MATCH(H:H,'90% of ACR'!A:A,0))*IF(I63&gt;0,IF(O63&gt;0,$R$4*MAX(O63-V63,0),0),0)/I63,2),0))</f>
        <v>1.01</v>
      </c>
      <c r="AI63" s="86">
        <f>IF(Y63="No",0,IFERROR(ROUNDDOWN(INDEX('90% of ACR'!R:R,MATCH(H:H,'90% of ACR'!A:A,0))*IF(J63&gt;0,IF(P63&gt;0,$R$4*MAX(P63-W63,0),0),0)/J63,2),0))</f>
        <v>0</v>
      </c>
      <c r="AJ63" s="45">
        <f t="shared" si="16"/>
        <v>10529716.958253987</v>
      </c>
      <c r="AK63" s="45">
        <f t="shared" si="17"/>
        <v>0</v>
      </c>
      <c r="AL63" s="47">
        <f t="shared" si="18"/>
        <v>1.76</v>
      </c>
      <c r="AM63" s="47">
        <f t="shared" si="19"/>
        <v>1.83</v>
      </c>
      <c r="AN63" s="87">
        <f>IFERROR(INDEX(FeeCalc!P:P,MATCH(C63,FeeCalc!F:F,0)),0)</f>
        <v>23069744.770352393</v>
      </c>
      <c r="AO63" s="87">
        <f>IFERROR(INDEX(FeeCalc!S:S,MATCH(C63,FeeCalc!F:F,0)),0)</f>
        <v>1455155.7167657821</v>
      </c>
      <c r="AP63" s="87">
        <f t="shared" si="20"/>
        <v>24524900.487118177</v>
      </c>
      <c r="AQ63" s="72">
        <f t="shared" si="21"/>
        <v>10406700.073499832</v>
      </c>
      <c r="AR63" s="72">
        <f t="shared" si="22"/>
        <v>5203350.0367499162</v>
      </c>
      <c r="AS63" s="72">
        <f t="shared" si="23"/>
        <v>5203350.0367499162</v>
      </c>
      <c r="AT63" s="72">
        <f>IFERROR(IFERROR(INDEX('2023 IP UPL Data'!L:L,MATCH(A:A,'2023 IP UPL Data'!B:B,0)),INDEX('2023 IMD UPL Data'!I:I,MATCH(A:A,'2023 IMD UPL Data'!B:B,0))),0)</f>
        <v>9457306.3318181783</v>
      </c>
      <c r="AU63" s="72">
        <f>IFERROR(IF(F61="IMD",0,INDEX('2023 OP UPL Data'!J:J,MATCH(A:A,'2023 OP UPL Data'!B:B,0))),0)</f>
        <v>1638321.6090909089</v>
      </c>
      <c r="AV63" s="45">
        <f t="shared" si="24"/>
        <v>11095627.940909088</v>
      </c>
      <c r="AW63" s="72">
        <f>IFERROR(IFERROR(INDEX('2023 IP UPL Data'!M:M,MATCH(A:A,'2023 IP UPL Data'!B:B,0)),INDEX('2023 IMD UPL Data'!K:K,MATCH(A:A,'2023 IMD UPL Data'!B:B,0))),0)</f>
        <v>27965692.600000001</v>
      </c>
      <c r="AX63" s="72">
        <f>IFERROR(IF(F61="IMD",0,INDEX('2023 OP UPL Data'!L:L,MATCH(A:A,'2023 OP UPL Data'!B:B,0))),0)</f>
        <v>5372258.5800000001</v>
      </c>
      <c r="AY63" s="45">
        <f t="shared" si="25"/>
        <v>33337951.18</v>
      </c>
      <c r="AZ63" s="72">
        <v>32446536.42290514</v>
      </c>
      <c r="BA63" s="72">
        <v>6258709.7709127264</v>
      </c>
      <c r="BB63" s="72">
        <f t="shared" si="26"/>
        <v>24627439.671726435</v>
      </c>
      <c r="BC63" s="72">
        <f t="shared" si="27"/>
        <v>1537778.7099930188</v>
      </c>
      <c r="BD63" s="72">
        <f t="shared" si="28"/>
        <v>26165218.381719459</v>
      </c>
      <c r="BE63" s="94">
        <f t="shared" si="29"/>
        <v>4480843.8229051381</v>
      </c>
      <c r="BF63" s="94">
        <f t="shared" si="30"/>
        <v>886451.19091272634</v>
      </c>
      <c r="BG63" s="73">
        <f>IFERROR(INDEX('2023 IP UPL Data'!K:K,MATCH(A63,'2023 IP UPL Data'!B:B,0)),0)</f>
        <v>0</v>
      </c>
    </row>
    <row r="64" spans="1:59">
      <c r="A64" s="124" t="s">
        <v>389</v>
      </c>
      <c r="B64" s="149" t="s">
        <v>389</v>
      </c>
      <c r="C64" s="31" t="s">
        <v>390</v>
      </c>
      <c r="D64" s="181" t="s">
        <v>390</v>
      </c>
      <c r="E64" s="144" t="s">
        <v>2990</v>
      </c>
      <c r="F64" s="120" t="s">
        <v>2718</v>
      </c>
      <c r="G64" s="120" t="s">
        <v>1202</v>
      </c>
      <c r="H64" s="43" t="str">
        <f t="shared" si="2"/>
        <v>Urban Travis</v>
      </c>
      <c r="I64" s="45">
        <f>INDEX(FeeCalc!M:M,MATCH(C:C,FeeCalc!F:F,0))</f>
        <v>124122.24818205726</v>
      </c>
      <c r="J64" s="45">
        <f>INDEX(FeeCalc!L:L,MATCH(C:C,FeeCalc!F:F,0))</f>
        <v>281598.70975410799</v>
      </c>
      <c r="K64" s="45">
        <f t="shared" si="3"/>
        <v>405720.95793616527</v>
      </c>
      <c r="L64" s="45">
        <f>IFERROR(IFERROR(INDEX('2023 IP UPL Data'!N:N,MATCH(A:A,'2023 IP UPL Data'!B:B,0)),INDEX('2023 IMD UPL Data'!M:M,MATCH(A:A,'2023 IMD UPL Data'!B:B,0))),0)</f>
        <v>108638.71151898733</v>
      </c>
      <c r="M64" s="45">
        <f>IFERROR((IF(F64="IMD",0,INDEX('2023 OP UPL Data'!M:M,MATCH(A:A,'2023 OP UPL Data'!B:B,0)))),0)</f>
        <v>601986.20506329124</v>
      </c>
      <c r="N64" s="45">
        <f t="shared" si="4"/>
        <v>710624.91658227856</v>
      </c>
      <c r="O64" s="45">
        <v>197369.96534492576</v>
      </c>
      <c r="P64" s="45">
        <v>799927.72662221617</v>
      </c>
      <c r="Q64" s="45">
        <f t="shared" si="5"/>
        <v>997297.69196714193</v>
      </c>
      <c r="R64" s="45" t="str">
        <f t="shared" si="6"/>
        <v>Yes</v>
      </c>
      <c r="S64" s="46" t="str">
        <f t="shared" si="7"/>
        <v>Yes</v>
      </c>
      <c r="T64" s="47">
        <f>ROUND(INDEX(Summary!H:H,MATCH(H:H,Summary!A:A,0)),2)</f>
        <v>0.75</v>
      </c>
      <c r="U64" s="47">
        <f>ROUND(INDEX(Summary!I:I,MATCH(H:H,Summary!A:A,0)),2)</f>
        <v>1.83</v>
      </c>
      <c r="V64" s="85">
        <f t="shared" si="8"/>
        <v>93091.686136542936</v>
      </c>
      <c r="W64" s="85">
        <f t="shared" si="9"/>
        <v>515325.63885001763</v>
      </c>
      <c r="X64" s="45">
        <f t="shared" si="10"/>
        <v>608417.3249865605</v>
      </c>
      <c r="Y64" s="45" t="s">
        <v>3223</v>
      </c>
      <c r="Z64" s="45" t="str">
        <f t="shared" si="11"/>
        <v>Yes</v>
      </c>
      <c r="AA64" s="45" t="str">
        <f t="shared" si="12"/>
        <v>Yes</v>
      </c>
      <c r="AB64" s="45" t="str">
        <f t="shared" si="13"/>
        <v>Yes</v>
      </c>
      <c r="AC64" s="86">
        <f t="shared" si="31"/>
        <v>0.59</v>
      </c>
      <c r="AD64" s="86">
        <f t="shared" si="32"/>
        <v>0.7</v>
      </c>
      <c r="AE64" s="45">
        <f t="shared" si="33"/>
        <v>73232.126427413779</v>
      </c>
      <c r="AF64" s="45">
        <f t="shared" si="14"/>
        <v>197119.09682787559</v>
      </c>
      <c r="AG64" s="45">
        <f t="shared" si="15"/>
        <v>270351.22325528937</v>
      </c>
      <c r="AH64" s="47">
        <f>IF(Y64="No",0,IFERROR(ROUNDDOWN(INDEX('90% of ACR'!K:K,MATCH(H:H,'90% of ACR'!A:A,0))*IF(I64&gt;0,IF(O64&gt;0,$R$4*MAX(O64-V64,0),0),0)/I64,2),0))</f>
        <v>0.57999999999999996</v>
      </c>
      <c r="AI64" s="86">
        <f>IF(Y64="No",0,IFERROR(ROUNDDOWN(INDEX('90% of ACR'!R:R,MATCH(H:H,'90% of ACR'!A:A,0))*IF(J64&gt;0,IF(P64&gt;0,$R$4*MAX(P64-W64,0),0),0)/J64,2),0))</f>
        <v>0.36</v>
      </c>
      <c r="AJ64" s="45">
        <f t="shared" si="16"/>
        <v>71990.903945593207</v>
      </c>
      <c r="AK64" s="45">
        <f t="shared" si="17"/>
        <v>101375.53551147887</v>
      </c>
      <c r="AL64" s="47">
        <f t="shared" si="18"/>
        <v>1.33</v>
      </c>
      <c r="AM64" s="47">
        <f t="shared" si="19"/>
        <v>2.19</v>
      </c>
      <c r="AN64" s="87">
        <f>IFERROR(INDEX(FeeCalc!P:P,MATCH(C64,FeeCalc!F:F,0)),0)</f>
        <v>781783.76444363268</v>
      </c>
      <c r="AO64" s="87">
        <f>IFERROR(INDEX(FeeCalc!S:S,MATCH(C64,FeeCalc!F:F,0)),0)</f>
        <v>48697.416409169862</v>
      </c>
      <c r="AP64" s="87">
        <f t="shared" si="20"/>
        <v>830481.18085280259</v>
      </c>
      <c r="AQ64" s="72">
        <f t="shared" si="21"/>
        <v>352399.74043363152</v>
      </c>
      <c r="AR64" s="72">
        <f t="shared" si="22"/>
        <v>176199.87021681576</v>
      </c>
      <c r="AS64" s="72">
        <f t="shared" si="23"/>
        <v>176199.87021681576</v>
      </c>
      <c r="AT64" s="72">
        <f>IFERROR(IFERROR(INDEX('2023 IP UPL Data'!L:L,MATCH(A:A,'2023 IP UPL Data'!B:B,0)),INDEX('2023 IMD UPL Data'!I:I,MATCH(A:A,'2023 IMD UPL Data'!B:B,0))),0)</f>
        <v>76185.778481012661</v>
      </c>
      <c r="AU64" s="72">
        <f>IFERROR(IF(F62="IMD",0,INDEX('2023 OP UPL Data'!J:J,MATCH(A:A,'2023 OP UPL Data'!B:B,0))),0)</f>
        <v>162241.59493670883</v>
      </c>
      <c r="AV64" s="45">
        <f t="shared" si="24"/>
        <v>238427.37341772148</v>
      </c>
      <c r="AW64" s="72">
        <f>IFERROR(IFERROR(INDEX('2023 IP UPL Data'!M:M,MATCH(A:A,'2023 IP UPL Data'!B:B,0)),INDEX('2023 IMD UPL Data'!K:K,MATCH(A:A,'2023 IMD UPL Data'!B:B,0))),0)</f>
        <v>184824.49</v>
      </c>
      <c r="AX64" s="72">
        <f>IFERROR(IF(F62="IMD",0,INDEX('2023 OP UPL Data'!L:L,MATCH(A:A,'2023 OP UPL Data'!B:B,0))),0)</f>
        <v>764227.8</v>
      </c>
      <c r="AY64" s="45">
        <f t="shared" si="25"/>
        <v>949052.29</v>
      </c>
      <c r="AZ64" s="72">
        <v>273555.74382593844</v>
      </c>
      <c r="BA64" s="72">
        <v>962169.32155892497</v>
      </c>
      <c r="BB64" s="72">
        <f t="shared" si="26"/>
        <v>180464.0576893955</v>
      </c>
      <c r="BC64" s="72">
        <f t="shared" si="27"/>
        <v>446843.68270890735</v>
      </c>
      <c r="BD64" s="72">
        <f t="shared" si="28"/>
        <v>627307.74039830291</v>
      </c>
      <c r="BE64" s="94">
        <f t="shared" si="29"/>
        <v>88731.253825938446</v>
      </c>
      <c r="BF64" s="94">
        <f t="shared" si="30"/>
        <v>197941.52155892493</v>
      </c>
      <c r="BG64" s="73">
        <f>IFERROR(INDEX('2023 IP UPL Data'!K:K,MATCH(A64,'2023 IP UPL Data'!B:B,0)),0)</f>
        <v>0</v>
      </c>
    </row>
    <row r="65" spans="1:59">
      <c r="A65" s="124" t="s">
        <v>386</v>
      </c>
      <c r="B65" s="149" t="s">
        <v>386</v>
      </c>
      <c r="C65" s="31" t="s">
        <v>387</v>
      </c>
      <c r="D65" s="181" t="s">
        <v>387</v>
      </c>
      <c r="E65" s="144" t="s">
        <v>2987</v>
      </c>
      <c r="F65" s="120" t="s">
        <v>2718</v>
      </c>
      <c r="G65" s="120" t="s">
        <v>1202</v>
      </c>
      <c r="H65" s="43" t="str">
        <f t="shared" si="2"/>
        <v>Urban Travis</v>
      </c>
      <c r="I65" s="45">
        <f>INDEX(FeeCalc!M:M,MATCH(C:C,FeeCalc!F:F,0))</f>
        <v>2957113.0554711348</v>
      </c>
      <c r="J65" s="45">
        <f>INDEX(FeeCalc!L:L,MATCH(C:C,FeeCalc!F:F,0))</f>
        <v>849378.45569274621</v>
      </c>
      <c r="K65" s="45">
        <f t="shared" si="3"/>
        <v>3806491.511163881</v>
      </c>
      <c r="L65" s="45">
        <f>IFERROR(IFERROR(INDEX('2023 IP UPL Data'!N:N,MATCH(A:A,'2023 IP UPL Data'!B:B,0)),INDEX('2023 IMD UPL Data'!M:M,MATCH(A:A,'2023 IMD UPL Data'!B:B,0))),0)</f>
        <v>2491735.7541772146</v>
      </c>
      <c r="M65" s="45">
        <f>IFERROR((IF(F65="IMD",0,INDEX('2023 OP UPL Data'!M:M,MATCH(A:A,'2023 OP UPL Data'!B:B,0)))),0)</f>
        <v>1963728.1936708863</v>
      </c>
      <c r="N65" s="45">
        <f t="shared" si="4"/>
        <v>4455463.9478481011</v>
      </c>
      <c r="O65" s="45">
        <v>6301101.2646209523</v>
      </c>
      <c r="P65" s="45">
        <v>2098016.0968222357</v>
      </c>
      <c r="Q65" s="45">
        <f t="shared" si="5"/>
        <v>8399117.361443188</v>
      </c>
      <c r="R65" s="45" t="str">
        <f t="shared" si="6"/>
        <v>Yes</v>
      </c>
      <c r="S65" s="46" t="str">
        <f t="shared" si="7"/>
        <v>Yes</v>
      </c>
      <c r="T65" s="47">
        <f>ROUND(INDEX(Summary!H:H,MATCH(H:H,Summary!A:A,0)),2)</f>
        <v>0.75</v>
      </c>
      <c r="U65" s="47">
        <f>ROUND(INDEX(Summary!I:I,MATCH(H:H,Summary!A:A,0)),2)</f>
        <v>1.83</v>
      </c>
      <c r="V65" s="85">
        <f t="shared" si="8"/>
        <v>2217834.791603351</v>
      </c>
      <c r="W65" s="85">
        <f t="shared" si="9"/>
        <v>1554362.5739177256</v>
      </c>
      <c r="X65" s="45">
        <f t="shared" si="10"/>
        <v>3772197.3655210766</v>
      </c>
      <c r="Y65" s="45" t="s">
        <v>3223</v>
      </c>
      <c r="Z65" s="45" t="str">
        <f t="shared" si="11"/>
        <v>Yes</v>
      </c>
      <c r="AA65" s="45" t="str">
        <f t="shared" si="12"/>
        <v>Yes</v>
      </c>
      <c r="AB65" s="45" t="str">
        <f t="shared" si="13"/>
        <v>Yes</v>
      </c>
      <c r="AC65" s="86">
        <f t="shared" si="31"/>
        <v>0.96</v>
      </c>
      <c r="AD65" s="86">
        <f t="shared" si="32"/>
        <v>0.45</v>
      </c>
      <c r="AE65" s="45">
        <f t="shared" si="33"/>
        <v>2838828.5332522895</v>
      </c>
      <c r="AF65" s="45">
        <f t="shared" si="14"/>
        <v>382220.30506173579</v>
      </c>
      <c r="AG65" s="45">
        <f t="shared" si="15"/>
        <v>3221048.8383140252</v>
      </c>
      <c r="AH65" s="47">
        <f>IF(Y65="No",0,IFERROR(ROUNDDOWN(INDEX('90% of ACR'!K:K,MATCH(H:H,'90% of ACR'!A:A,0))*IF(I65&gt;0,IF(O65&gt;0,$R$4*MAX(O65-V65,0),0),0)/I65,2),0))</f>
        <v>0.96</v>
      </c>
      <c r="AI65" s="86">
        <f>IF(Y65="No",0,IFERROR(ROUNDDOWN(INDEX('90% of ACR'!R:R,MATCH(H:H,'90% of ACR'!A:A,0))*IF(J65&gt;0,IF(P65&gt;0,$R$4*MAX(P65-W65,0),0),0)/J65,2),0))</f>
        <v>0.23</v>
      </c>
      <c r="AJ65" s="45">
        <f t="shared" si="16"/>
        <v>2838828.5332522895</v>
      </c>
      <c r="AK65" s="45">
        <f t="shared" si="17"/>
        <v>195357.04480933162</v>
      </c>
      <c r="AL65" s="47">
        <f t="shared" si="18"/>
        <v>1.71</v>
      </c>
      <c r="AM65" s="47">
        <f t="shared" si="19"/>
        <v>2.06</v>
      </c>
      <c r="AN65" s="87">
        <f>IFERROR(INDEX(FeeCalc!P:P,MATCH(C65,FeeCalc!F:F,0)),0)</f>
        <v>6806382.9435826978</v>
      </c>
      <c r="AO65" s="87">
        <f>IFERROR(INDEX(FeeCalc!S:S,MATCH(C65,FeeCalc!F:F,0)),0)</f>
        <v>419720.24753285915</v>
      </c>
      <c r="AP65" s="87">
        <f t="shared" si="20"/>
        <v>7226103.1911155572</v>
      </c>
      <c r="AQ65" s="72">
        <f t="shared" si="21"/>
        <v>3066266.8192924471</v>
      </c>
      <c r="AR65" s="72">
        <f t="shared" si="22"/>
        <v>1533133.4096462235</v>
      </c>
      <c r="AS65" s="72">
        <f t="shared" si="23"/>
        <v>1533133.4096462235</v>
      </c>
      <c r="AT65" s="72">
        <f>IFERROR(IFERROR(INDEX('2023 IP UPL Data'!L:L,MATCH(A:A,'2023 IP UPL Data'!B:B,0)),INDEX('2023 IMD UPL Data'!I:I,MATCH(A:A,'2023 IMD UPL Data'!B:B,0))),0)</f>
        <v>2839154.265822785</v>
      </c>
      <c r="AU65" s="72">
        <f>IFERROR(IF(F63="IMD",0,INDEX('2023 OP UPL Data'!J:J,MATCH(A:A,'2023 OP UPL Data'!B:B,0))),0)</f>
        <v>544520.00632911385</v>
      </c>
      <c r="AV65" s="45">
        <f t="shared" si="24"/>
        <v>3383674.2721518986</v>
      </c>
      <c r="AW65" s="72">
        <f>IFERROR(IFERROR(INDEX('2023 IP UPL Data'!M:M,MATCH(A:A,'2023 IP UPL Data'!B:B,0)),INDEX('2023 IMD UPL Data'!K:K,MATCH(A:A,'2023 IMD UPL Data'!B:B,0))),0)</f>
        <v>5330890.0199999996</v>
      </c>
      <c r="AX65" s="72">
        <f>IFERROR(IF(F63="IMD",0,INDEX('2023 OP UPL Data'!L:L,MATCH(A:A,'2023 OP UPL Data'!B:B,0))),0)</f>
        <v>2508248.2000000002</v>
      </c>
      <c r="AY65" s="45">
        <f t="shared" si="25"/>
        <v>7839138.2199999997</v>
      </c>
      <c r="AZ65" s="72">
        <v>9140255.5304437373</v>
      </c>
      <c r="BA65" s="72">
        <v>2642536.1031513498</v>
      </c>
      <c r="BB65" s="72">
        <f t="shared" si="26"/>
        <v>6922420.7388403863</v>
      </c>
      <c r="BC65" s="72">
        <f t="shared" si="27"/>
        <v>1088173.5292336242</v>
      </c>
      <c r="BD65" s="72">
        <f t="shared" si="28"/>
        <v>8010594.2680740096</v>
      </c>
      <c r="BE65" s="94">
        <f t="shared" si="29"/>
        <v>3809365.5104437377</v>
      </c>
      <c r="BF65" s="94">
        <f t="shared" si="30"/>
        <v>134287.90315134963</v>
      </c>
      <c r="BG65" s="73">
        <f>IFERROR(INDEX('2023 IP UPL Data'!K:K,MATCH(A65,'2023 IP UPL Data'!B:B,0)),0)</f>
        <v>0</v>
      </c>
    </row>
    <row r="66" spans="1:59">
      <c r="A66" s="124" t="s">
        <v>392</v>
      </c>
      <c r="B66" s="149" t="s">
        <v>392</v>
      </c>
      <c r="C66" s="31" t="s">
        <v>393</v>
      </c>
      <c r="D66" s="181" t="s">
        <v>393</v>
      </c>
      <c r="E66" s="144" t="s">
        <v>2992</v>
      </c>
      <c r="F66" s="120" t="s">
        <v>1552</v>
      </c>
      <c r="G66" s="120" t="s">
        <v>1202</v>
      </c>
      <c r="H66" s="43" t="str">
        <f t="shared" si="2"/>
        <v>Children's Travis</v>
      </c>
      <c r="I66" s="45">
        <f>INDEX(FeeCalc!M:M,MATCH(C:C,FeeCalc!F:F,0))</f>
        <v>60706957.693749629</v>
      </c>
      <c r="J66" s="45">
        <f>INDEX(FeeCalc!L:L,MATCH(C:C,FeeCalc!F:F,0))</f>
        <v>23102950.190736581</v>
      </c>
      <c r="K66" s="45">
        <f t="shared" si="3"/>
        <v>83809907.884486213</v>
      </c>
      <c r="L66" s="45">
        <f>IFERROR(IFERROR(INDEX('2023 IP UPL Data'!N:N,MATCH(A:A,'2023 IP UPL Data'!B:B,0)),INDEX('2023 IMD UPL Data'!M:M,MATCH(A:A,'2023 IMD UPL Data'!B:B,0))),0)</f>
        <v>-17623862.554690272</v>
      </c>
      <c r="M66" s="45">
        <f>IFERROR((IF(F66="IMD",0,INDEX('2023 OP UPL Data'!M:M,MATCH(A:A,'2023 OP UPL Data'!B:B,0)))),0)</f>
        <v>8568432.4812389389</v>
      </c>
      <c r="N66" s="45">
        <f t="shared" si="4"/>
        <v>-9055430.0734513327</v>
      </c>
      <c r="O66" s="45">
        <v>138650144.94510269</v>
      </c>
      <c r="P66" s="45">
        <v>48906659.300016582</v>
      </c>
      <c r="Q66" s="45">
        <f t="shared" si="5"/>
        <v>187556804.24511927</v>
      </c>
      <c r="R66" s="45" t="str">
        <f t="shared" si="6"/>
        <v>Yes</v>
      </c>
      <c r="S66" s="46" t="str">
        <f t="shared" si="7"/>
        <v>Yes</v>
      </c>
      <c r="T66" s="47">
        <f>ROUND(INDEX(Summary!H:H,MATCH(H:H,Summary!A:A,0)),2)</f>
        <v>0</v>
      </c>
      <c r="U66" s="47">
        <f>ROUND(INDEX(Summary!I:I,MATCH(H:H,Summary!A:A,0)),2)</f>
        <v>0.37</v>
      </c>
      <c r="V66" s="85">
        <f t="shared" si="8"/>
        <v>0</v>
      </c>
      <c r="W66" s="85">
        <f t="shared" si="9"/>
        <v>8548091.5705725346</v>
      </c>
      <c r="X66" s="45">
        <f t="shared" si="10"/>
        <v>8548091.5705725346</v>
      </c>
      <c r="Y66" s="45" t="s">
        <v>3223</v>
      </c>
      <c r="Z66" s="45" t="str">
        <f t="shared" si="11"/>
        <v>Yes</v>
      </c>
      <c r="AA66" s="45" t="str">
        <f t="shared" si="12"/>
        <v>Yes</v>
      </c>
      <c r="AB66" s="45" t="str">
        <f t="shared" si="13"/>
        <v>Yes</v>
      </c>
      <c r="AC66" s="86">
        <f t="shared" si="31"/>
        <v>1.59</v>
      </c>
      <c r="AD66" s="86">
        <f t="shared" si="32"/>
        <v>1.22</v>
      </c>
      <c r="AE66" s="45">
        <f t="shared" si="33"/>
        <v>96524062.73306191</v>
      </c>
      <c r="AF66" s="45">
        <f t="shared" si="14"/>
        <v>28185599.232698627</v>
      </c>
      <c r="AG66" s="45">
        <f t="shared" si="15"/>
        <v>124709661.96576053</v>
      </c>
      <c r="AH66" s="47">
        <f>IF(Y66="No",0,IFERROR(ROUNDDOWN(INDEX('90% of ACR'!K:K,MATCH(H:H,'90% of ACR'!A:A,0))*IF(I66&gt;0,IF(O66&gt;0,$R$4*MAX(O66-V66,0),0),0)/I66,2),0))</f>
        <v>1.59</v>
      </c>
      <c r="AI66" s="86">
        <f>IF(Y66="No",0,IFERROR(ROUNDDOWN(INDEX('90% of ACR'!R:R,MATCH(H:H,'90% of ACR'!A:A,0))*IF(J66&gt;0,IF(P66&gt;0,$R$4*MAX(P66-W66,0),0),0)/J66,2),0))</f>
        <v>1.21</v>
      </c>
      <c r="AJ66" s="45">
        <f t="shared" si="16"/>
        <v>96524062.73306191</v>
      </c>
      <c r="AK66" s="45">
        <f t="shared" si="17"/>
        <v>27954569.730791263</v>
      </c>
      <c r="AL66" s="47">
        <f t="shared" si="18"/>
        <v>1.59</v>
      </c>
      <c r="AM66" s="47">
        <f t="shared" si="19"/>
        <v>1.58</v>
      </c>
      <c r="AN66" s="87">
        <f>IFERROR(INDEX(FeeCalc!P:P,MATCH(C66,FeeCalc!F:F,0)),0)</f>
        <v>133026724.03442571</v>
      </c>
      <c r="AO66" s="87">
        <f>IFERROR(INDEX(FeeCalc!S:S,MATCH(C66,FeeCalc!F:F,0)),0)</f>
        <v>8119550.3188055502</v>
      </c>
      <c r="AP66" s="87">
        <f t="shared" si="20"/>
        <v>141146274.35323125</v>
      </c>
      <c r="AQ66" s="72">
        <f t="shared" si="21"/>
        <v>59892880.888855338</v>
      </c>
      <c r="AR66" s="72">
        <f t="shared" si="22"/>
        <v>29946440.444427669</v>
      </c>
      <c r="AS66" s="72">
        <f t="shared" si="23"/>
        <v>29946440.444427669</v>
      </c>
      <c r="AT66" s="72">
        <f>IFERROR(IFERROR(INDEX('2023 IP UPL Data'!L:L,MATCH(A:A,'2023 IP UPL Data'!B:B,0)),INDEX('2023 IMD UPL Data'!I:I,MATCH(A:A,'2023 IMD UPL Data'!B:B,0))),0)</f>
        <v>54464620.194690272</v>
      </c>
      <c r="AU66" s="72">
        <f>IFERROR(IF(F64="IMD",0,INDEX('2023 OP UPL Data'!J:J,MATCH(A:A,'2023 OP UPL Data'!B:B,0))),0)</f>
        <v>10213656.778761063</v>
      </c>
      <c r="AV66" s="45">
        <f t="shared" si="24"/>
        <v>64678276.973451331</v>
      </c>
      <c r="AW66" s="72">
        <f>IFERROR(IFERROR(INDEX('2023 IP UPL Data'!M:M,MATCH(A:A,'2023 IP UPL Data'!B:B,0)),INDEX('2023 IMD UPL Data'!K:K,MATCH(A:A,'2023 IMD UPL Data'!B:B,0))),0)</f>
        <v>36840757.640000001</v>
      </c>
      <c r="AX66" s="72">
        <f>IFERROR(IF(F64="IMD",0,INDEX('2023 OP UPL Data'!L:L,MATCH(A:A,'2023 OP UPL Data'!B:B,0))),0)</f>
        <v>18782089.260000002</v>
      </c>
      <c r="AY66" s="45">
        <f t="shared" si="25"/>
        <v>55622846.900000006</v>
      </c>
      <c r="AZ66" s="72">
        <v>193114765.13979298</v>
      </c>
      <c r="BA66" s="72">
        <v>59120316.078777641</v>
      </c>
      <c r="BB66" s="72">
        <f t="shared" si="26"/>
        <v>193114765.13979298</v>
      </c>
      <c r="BC66" s="72">
        <f t="shared" si="27"/>
        <v>50572224.508205108</v>
      </c>
      <c r="BD66" s="72">
        <f t="shared" si="28"/>
        <v>243686989.64799809</v>
      </c>
      <c r="BE66" s="94">
        <f t="shared" si="29"/>
        <v>156274007.49979299</v>
      </c>
      <c r="BF66" s="94">
        <f t="shared" si="30"/>
        <v>40338226.818777636</v>
      </c>
      <c r="BG66" s="73">
        <f>IFERROR(INDEX('2023 IP UPL Data'!K:K,MATCH(A66,'2023 IP UPL Data'!B:B,0)),0)</f>
        <v>0</v>
      </c>
    </row>
    <row r="67" spans="1:59">
      <c r="A67" s="124" t="s">
        <v>1034</v>
      </c>
      <c r="B67" s="149" t="s">
        <v>1034</v>
      </c>
      <c r="C67" s="31" t="s">
        <v>1035</v>
      </c>
      <c r="D67" s="181" t="s">
        <v>1035</v>
      </c>
      <c r="E67" s="144" t="s">
        <v>2993</v>
      </c>
      <c r="F67" s="120" t="s">
        <v>2718</v>
      </c>
      <c r="G67" s="120" t="s">
        <v>1202</v>
      </c>
      <c r="H67" s="43" t="str">
        <f t="shared" si="2"/>
        <v>Urban Travis</v>
      </c>
      <c r="I67" s="45">
        <f>INDEX(FeeCalc!M:M,MATCH(C:C,FeeCalc!F:F,0))</f>
        <v>3948476.8722114833</v>
      </c>
      <c r="J67" s="45">
        <f>INDEX(FeeCalc!L:L,MATCH(C:C,FeeCalc!F:F,0))</f>
        <v>1151134.3586209966</v>
      </c>
      <c r="K67" s="45">
        <f t="shared" si="3"/>
        <v>5099611.2308324799</v>
      </c>
      <c r="L67" s="45">
        <f>IFERROR(IFERROR(INDEX('2023 IP UPL Data'!N:N,MATCH(A:A,'2023 IP UPL Data'!B:B,0)),INDEX('2023 IMD UPL Data'!M:M,MATCH(A:A,'2023 IMD UPL Data'!B:B,0))),0)</f>
        <v>1888578.07721519</v>
      </c>
      <c r="M67" s="45">
        <f>IFERROR((IF(F67="IMD",0,INDEX('2023 OP UPL Data'!M:M,MATCH(A:A,'2023 OP UPL Data'!B:B,0)))),0)</f>
        <v>2783992.0389873418</v>
      </c>
      <c r="N67" s="45">
        <f t="shared" si="4"/>
        <v>4672570.1162025314</v>
      </c>
      <c r="O67" s="45">
        <v>8436196.6490061656</v>
      </c>
      <c r="P67" s="45">
        <v>3557413.557552781</v>
      </c>
      <c r="Q67" s="45">
        <f t="shared" si="5"/>
        <v>11993610.206558947</v>
      </c>
      <c r="R67" s="45" t="str">
        <f t="shared" si="6"/>
        <v>Yes</v>
      </c>
      <c r="S67" s="46" t="str">
        <f t="shared" si="7"/>
        <v>Yes</v>
      </c>
      <c r="T67" s="47">
        <f>ROUND(INDEX(Summary!H:H,MATCH(H:H,Summary!A:A,0)),2)</f>
        <v>0.75</v>
      </c>
      <c r="U67" s="47">
        <f>ROUND(INDEX(Summary!I:I,MATCH(H:H,Summary!A:A,0)),2)</f>
        <v>1.83</v>
      </c>
      <c r="V67" s="85">
        <f t="shared" si="8"/>
        <v>2961357.6541586127</v>
      </c>
      <c r="W67" s="85">
        <f t="shared" si="9"/>
        <v>2106575.8762764237</v>
      </c>
      <c r="X67" s="45">
        <f t="shared" si="10"/>
        <v>5067933.5304350369</v>
      </c>
      <c r="Y67" s="45" t="s">
        <v>3223</v>
      </c>
      <c r="Z67" s="45" t="str">
        <f t="shared" si="11"/>
        <v>Yes</v>
      </c>
      <c r="AA67" s="45" t="str">
        <f t="shared" si="12"/>
        <v>Yes</v>
      </c>
      <c r="AB67" s="45" t="str">
        <f t="shared" si="13"/>
        <v>Yes</v>
      </c>
      <c r="AC67" s="86">
        <f t="shared" si="31"/>
        <v>0.97</v>
      </c>
      <c r="AD67" s="86">
        <f t="shared" si="32"/>
        <v>0.88</v>
      </c>
      <c r="AE67" s="45">
        <f t="shared" si="33"/>
        <v>3830022.5660451385</v>
      </c>
      <c r="AF67" s="45">
        <f t="shared" si="14"/>
        <v>1012998.235586477</v>
      </c>
      <c r="AG67" s="45">
        <f t="shared" si="15"/>
        <v>4843020.8016316155</v>
      </c>
      <c r="AH67" s="47">
        <f>IF(Y67="No",0,IFERROR(ROUNDDOWN(INDEX('90% of ACR'!K:K,MATCH(H:H,'90% of ACR'!A:A,0))*IF(I67&gt;0,IF(O67&gt;0,$R$4*MAX(O67-V67,0),0),0)/I67,2),0))</f>
        <v>0.96</v>
      </c>
      <c r="AI67" s="86">
        <f>IF(Y67="No",0,IFERROR(ROUNDDOWN(INDEX('90% of ACR'!R:R,MATCH(H:H,'90% of ACR'!A:A,0))*IF(J67&gt;0,IF(P67&gt;0,$R$4*MAX(P67-W67,0),0),0)/J67,2),0))</f>
        <v>0.45</v>
      </c>
      <c r="AJ67" s="45">
        <f t="shared" si="16"/>
        <v>3790537.7973230239</v>
      </c>
      <c r="AK67" s="45">
        <f t="shared" si="17"/>
        <v>518010.46137944848</v>
      </c>
      <c r="AL67" s="47">
        <f t="shared" si="18"/>
        <v>1.71</v>
      </c>
      <c r="AM67" s="47">
        <f t="shared" si="19"/>
        <v>2.2800000000000002</v>
      </c>
      <c r="AN67" s="87">
        <f>IFERROR(INDEX(FeeCalc!P:P,MATCH(C67,FeeCalc!F:F,0)),0)</f>
        <v>9376481.7891375087</v>
      </c>
      <c r="AO67" s="87">
        <f>IFERROR(INDEX(FeeCalc!S:S,MATCH(C67,FeeCalc!F:F,0)),0)</f>
        <v>585340.01577404689</v>
      </c>
      <c r="AP67" s="87">
        <f t="shared" si="20"/>
        <v>9961821.8049115557</v>
      </c>
      <c r="AQ67" s="72">
        <f t="shared" si="21"/>
        <v>4227119.7701217309</v>
      </c>
      <c r="AR67" s="72">
        <f t="shared" si="22"/>
        <v>2113559.8850608654</v>
      </c>
      <c r="AS67" s="72">
        <f t="shared" si="23"/>
        <v>2113559.8850608654</v>
      </c>
      <c r="AT67" s="72">
        <f>IFERROR(IFERROR(INDEX('2023 IP UPL Data'!L:L,MATCH(A:A,'2023 IP UPL Data'!B:B,0)),INDEX('2023 IMD UPL Data'!I:I,MATCH(A:A,'2023 IMD UPL Data'!B:B,0))),0)</f>
        <v>2530324.3227848103</v>
      </c>
      <c r="AU67" s="72">
        <f>IFERROR(IF(F65="IMD",0,INDEX('2023 OP UPL Data'!J:J,MATCH(A:A,'2023 OP UPL Data'!B:B,0))),0)</f>
        <v>905260.98101265822</v>
      </c>
      <c r="AV67" s="45">
        <f t="shared" si="24"/>
        <v>3435585.3037974685</v>
      </c>
      <c r="AW67" s="72">
        <f>IFERROR(IFERROR(INDEX('2023 IP UPL Data'!M:M,MATCH(A:A,'2023 IP UPL Data'!B:B,0)),INDEX('2023 IMD UPL Data'!K:K,MATCH(A:A,'2023 IMD UPL Data'!B:B,0))),0)</f>
        <v>4418902.4000000004</v>
      </c>
      <c r="AX67" s="72">
        <f>IFERROR(IF(F65="IMD",0,INDEX('2023 OP UPL Data'!L:L,MATCH(A:A,'2023 OP UPL Data'!B:B,0))),0)</f>
        <v>3689253.02</v>
      </c>
      <c r="AY67" s="45">
        <f t="shared" si="25"/>
        <v>8108155.4199999999</v>
      </c>
      <c r="AZ67" s="72">
        <v>10966520.971790975</v>
      </c>
      <c r="BA67" s="72">
        <v>4462674.5385654392</v>
      </c>
      <c r="BB67" s="72">
        <f t="shared" si="26"/>
        <v>8005163.3176323622</v>
      </c>
      <c r="BC67" s="72">
        <f t="shared" si="27"/>
        <v>2356098.6622890155</v>
      </c>
      <c r="BD67" s="72">
        <f t="shared" si="28"/>
        <v>10361261.979921378</v>
      </c>
      <c r="BE67" s="94">
        <f t="shared" si="29"/>
        <v>6547618.5717909746</v>
      </c>
      <c r="BF67" s="94">
        <f t="shared" si="30"/>
        <v>773421.51856543915</v>
      </c>
      <c r="BG67" s="73">
        <f>IFERROR(INDEX('2023 IP UPL Data'!K:K,MATCH(A67,'2023 IP UPL Data'!B:B,0)),0)</f>
        <v>0</v>
      </c>
    </row>
    <row r="68" spans="1:59">
      <c r="A68" s="124" t="s">
        <v>1031</v>
      </c>
      <c r="B68" s="149" t="s">
        <v>1031</v>
      </c>
      <c r="C68" s="31" t="s">
        <v>1032</v>
      </c>
      <c r="D68" s="181" t="s">
        <v>1032</v>
      </c>
      <c r="E68" s="144" t="s">
        <v>2991</v>
      </c>
      <c r="F68" s="120" t="s">
        <v>2718</v>
      </c>
      <c r="G68" s="120" t="s">
        <v>1202</v>
      </c>
      <c r="H68" s="43" t="str">
        <f t="shared" si="2"/>
        <v>Urban Travis</v>
      </c>
      <c r="I68" s="45">
        <f>INDEX(FeeCalc!M:M,MATCH(C:C,FeeCalc!F:F,0))</f>
        <v>4045716.6682369933</v>
      </c>
      <c r="J68" s="45">
        <f>INDEX(FeeCalc!L:L,MATCH(C:C,FeeCalc!F:F,0))</f>
        <v>1630549.9748424706</v>
      </c>
      <c r="K68" s="45">
        <f t="shared" si="3"/>
        <v>5676266.6430794634</v>
      </c>
      <c r="L68" s="45">
        <f>IFERROR(IFERROR(INDEX('2023 IP UPL Data'!N:N,MATCH(A:A,'2023 IP UPL Data'!B:B,0)),INDEX('2023 IMD UPL Data'!M:M,MATCH(A:A,'2023 IMD UPL Data'!B:B,0))),0)</f>
        <v>3567608.1664556963</v>
      </c>
      <c r="M68" s="45">
        <f>IFERROR((IF(F68="IMD",0,INDEX('2023 OP UPL Data'!M:M,MATCH(A:A,'2023 OP UPL Data'!B:B,0)))),0)</f>
        <v>3167912.59443038</v>
      </c>
      <c r="N68" s="45">
        <f t="shared" si="4"/>
        <v>6735520.7608860768</v>
      </c>
      <c r="O68" s="45">
        <v>12946908.931774337</v>
      </c>
      <c r="P68" s="45">
        <v>3935371.1757613388</v>
      </c>
      <c r="Q68" s="45">
        <f t="shared" si="5"/>
        <v>16882280.107535675</v>
      </c>
      <c r="R68" s="45" t="str">
        <f t="shared" si="6"/>
        <v>Yes</v>
      </c>
      <c r="S68" s="46" t="str">
        <f t="shared" si="7"/>
        <v>Yes</v>
      </c>
      <c r="T68" s="47">
        <f>ROUND(INDEX(Summary!H:H,MATCH(H:H,Summary!A:A,0)),2)</f>
        <v>0.75</v>
      </c>
      <c r="U68" s="47">
        <f>ROUND(INDEX(Summary!I:I,MATCH(H:H,Summary!A:A,0)),2)</f>
        <v>1.83</v>
      </c>
      <c r="V68" s="85">
        <f t="shared" si="8"/>
        <v>3034287.5011777449</v>
      </c>
      <c r="W68" s="85">
        <f t="shared" si="9"/>
        <v>2983906.4539617212</v>
      </c>
      <c r="X68" s="45">
        <f t="shared" si="10"/>
        <v>6018193.9551394656</v>
      </c>
      <c r="Y68" s="45" t="s">
        <v>3223</v>
      </c>
      <c r="Z68" s="45" t="str">
        <f t="shared" si="11"/>
        <v>Yes</v>
      </c>
      <c r="AA68" s="45" t="str">
        <f t="shared" si="12"/>
        <v>Yes</v>
      </c>
      <c r="AB68" s="45" t="str">
        <f t="shared" si="13"/>
        <v>Yes</v>
      </c>
      <c r="AC68" s="86">
        <f t="shared" si="31"/>
        <v>1.71</v>
      </c>
      <c r="AD68" s="86">
        <f t="shared" si="32"/>
        <v>0.41</v>
      </c>
      <c r="AE68" s="45">
        <f t="shared" si="33"/>
        <v>6918175.5026852582</v>
      </c>
      <c r="AF68" s="45">
        <f t="shared" si="14"/>
        <v>668525.48968541296</v>
      </c>
      <c r="AG68" s="45">
        <f t="shared" si="15"/>
        <v>7586700.9923706707</v>
      </c>
      <c r="AH68" s="47">
        <f>IF(Y68="No",0,IFERROR(ROUNDDOWN(INDEX('90% of ACR'!K:K,MATCH(H:H,'90% of ACR'!A:A,0))*IF(I68&gt;0,IF(O68&gt;0,$R$4*MAX(O68-V68,0),0),0)/I68,2),0))</f>
        <v>1.7</v>
      </c>
      <c r="AI68" s="86">
        <f>IF(Y68="No",0,IFERROR(ROUNDDOWN(INDEX('90% of ACR'!R:R,MATCH(H:H,'90% of ACR'!A:A,0))*IF(J68&gt;0,IF(P68&gt;0,$R$4*MAX(P68-W68,0),0),0)/J68,2),0))</f>
        <v>0.21</v>
      </c>
      <c r="AJ68" s="45">
        <f t="shared" si="16"/>
        <v>6877718.3360028882</v>
      </c>
      <c r="AK68" s="45">
        <f t="shared" si="17"/>
        <v>342415.49471691879</v>
      </c>
      <c r="AL68" s="47">
        <f t="shared" si="18"/>
        <v>2.4500000000000002</v>
      </c>
      <c r="AM68" s="47">
        <f t="shared" si="19"/>
        <v>2.04</v>
      </c>
      <c r="AN68" s="87">
        <f>IFERROR(INDEX(FeeCalc!P:P,MATCH(C68,FeeCalc!F:F,0)),0)</f>
        <v>13238327.785859276</v>
      </c>
      <c r="AO68" s="87">
        <f>IFERROR(INDEX(FeeCalc!S:S,MATCH(C68,FeeCalc!F:F,0)),0)</f>
        <v>820782.04794291058</v>
      </c>
      <c r="AP68" s="87">
        <f t="shared" si="20"/>
        <v>14059109.833802186</v>
      </c>
      <c r="AQ68" s="72">
        <f t="shared" si="21"/>
        <v>5965730.1939969501</v>
      </c>
      <c r="AR68" s="72">
        <f t="shared" si="22"/>
        <v>2982865.096998475</v>
      </c>
      <c r="AS68" s="72">
        <f t="shared" si="23"/>
        <v>2982865.096998475</v>
      </c>
      <c r="AT68" s="72">
        <f>IFERROR(IFERROR(INDEX('2023 IP UPL Data'!L:L,MATCH(A:A,'2023 IP UPL Data'!B:B,0)),INDEX('2023 IMD UPL Data'!I:I,MATCH(A:A,'2023 IMD UPL Data'!B:B,0))),0)</f>
        <v>4023982.1835443033</v>
      </c>
      <c r="AU68" s="72">
        <f>IFERROR(IF(F66="IMD",0,INDEX('2023 OP UPL Data'!J:J,MATCH(A:A,'2023 OP UPL Data'!B:B,0))),0)</f>
        <v>1081708.6455696202</v>
      </c>
      <c r="AV68" s="45">
        <f t="shared" si="24"/>
        <v>5105690.829113923</v>
      </c>
      <c r="AW68" s="72">
        <f>IFERROR(IFERROR(INDEX('2023 IP UPL Data'!M:M,MATCH(A:A,'2023 IP UPL Data'!B:B,0)),INDEX('2023 IMD UPL Data'!K:K,MATCH(A:A,'2023 IMD UPL Data'!B:B,0))),0)</f>
        <v>7591590.3499999996</v>
      </c>
      <c r="AX68" s="72">
        <f>IFERROR(IF(F66="IMD",0,INDEX('2023 OP UPL Data'!L:L,MATCH(A:A,'2023 OP UPL Data'!B:B,0))),0)</f>
        <v>4249621.24</v>
      </c>
      <c r="AY68" s="45">
        <f t="shared" si="25"/>
        <v>11841211.59</v>
      </c>
      <c r="AZ68" s="72">
        <v>16970891.115318641</v>
      </c>
      <c r="BA68" s="72">
        <v>5017079.821330959</v>
      </c>
      <c r="BB68" s="72">
        <f t="shared" si="26"/>
        <v>13936603.614140896</v>
      </c>
      <c r="BC68" s="72">
        <f t="shared" si="27"/>
        <v>2033173.3673692378</v>
      </c>
      <c r="BD68" s="72">
        <f t="shared" si="28"/>
        <v>15969776.981510133</v>
      </c>
      <c r="BE68" s="94">
        <f t="shared" si="29"/>
        <v>9379300.7653186414</v>
      </c>
      <c r="BF68" s="94">
        <f t="shared" si="30"/>
        <v>767458.58133095875</v>
      </c>
      <c r="BG68" s="73">
        <f>IFERROR(INDEX('2023 IP UPL Data'!K:K,MATCH(A68,'2023 IP UPL Data'!B:B,0)),0)</f>
        <v>0</v>
      </c>
    </row>
    <row r="69" spans="1:59">
      <c r="A69" s="124" t="s">
        <v>1727</v>
      </c>
      <c r="B69" s="149" t="s">
        <v>1727</v>
      </c>
      <c r="C69" s="31" t="s">
        <v>1729</v>
      </c>
      <c r="D69" s="181" t="s">
        <v>1729</v>
      </c>
      <c r="E69" s="144" t="s">
        <v>2994</v>
      </c>
      <c r="F69" s="120" t="s">
        <v>2718</v>
      </c>
      <c r="G69" s="120" t="s">
        <v>1202</v>
      </c>
      <c r="H69" s="43" t="str">
        <f t="shared" si="2"/>
        <v>Urban Travis</v>
      </c>
      <c r="I69" s="45">
        <f>INDEX(FeeCalc!M:M,MATCH(C:C,FeeCalc!F:F,0))</f>
        <v>15921.126198620586</v>
      </c>
      <c r="J69" s="45">
        <f>INDEX(FeeCalc!L:L,MATCH(C:C,FeeCalc!F:F,0))</f>
        <v>306005.34430555039</v>
      </c>
      <c r="K69" s="45">
        <f t="shared" si="3"/>
        <v>321926.47050417098</v>
      </c>
      <c r="L69" s="45">
        <f>IFERROR(IFERROR(INDEX('2023 IP UPL Data'!N:N,MATCH(A:A,'2023 IP UPL Data'!B:B,0)),INDEX('2023 IMD UPL Data'!M:M,MATCH(A:A,'2023 IMD UPL Data'!B:B,0))),0)</f>
        <v>331578.76101265824</v>
      </c>
      <c r="M69" s="45">
        <f>IFERROR((IF(F69="IMD",0,INDEX('2023 OP UPL Data'!M:M,MATCH(A:A,'2023 OP UPL Data'!B:B,0)))),0)</f>
        <v>169272.82924050634</v>
      </c>
      <c r="N69" s="45">
        <f t="shared" si="4"/>
        <v>500851.59025316458</v>
      </c>
      <c r="O69" s="45">
        <v>282122.20405596844</v>
      </c>
      <c r="P69" s="45">
        <v>623050.72710862581</v>
      </c>
      <c r="Q69" s="45">
        <f t="shared" si="5"/>
        <v>905172.93116459425</v>
      </c>
      <c r="R69" s="45" t="str">
        <f t="shared" si="6"/>
        <v>Yes</v>
      </c>
      <c r="S69" s="46" t="str">
        <f t="shared" si="7"/>
        <v>Yes</v>
      </c>
      <c r="T69" s="47">
        <f>ROUND(INDEX(Summary!H:H,MATCH(H:H,Summary!A:A,0)),2)</f>
        <v>0.75</v>
      </c>
      <c r="U69" s="47">
        <f>ROUND(INDEX(Summary!I:I,MATCH(H:H,Summary!A:A,0)),2)</f>
        <v>1.83</v>
      </c>
      <c r="V69" s="85">
        <f t="shared" si="8"/>
        <v>11940.84464896544</v>
      </c>
      <c r="W69" s="85">
        <f t="shared" si="9"/>
        <v>559989.78007915721</v>
      </c>
      <c r="X69" s="45">
        <f t="shared" si="10"/>
        <v>571930.62472812261</v>
      </c>
      <c r="Y69" s="45" t="s">
        <v>3223</v>
      </c>
      <c r="Z69" s="45" t="str">
        <f t="shared" si="11"/>
        <v>Yes</v>
      </c>
      <c r="AA69" s="45" t="str">
        <f t="shared" si="12"/>
        <v>Yes</v>
      </c>
      <c r="AB69" s="45" t="str">
        <f t="shared" si="13"/>
        <v>Yes</v>
      </c>
      <c r="AC69" s="86">
        <f t="shared" si="31"/>
        <v>11.82</v>
      </c>
      <c r="AD69" s="86">
        <f t="shared" si="32"/>
        <v>0.14000000000000001</v>
      </c>
      <c r="AE69" s="45">
        <f t="shared" si="33"/>
        <v>188187.71166769534</v>
      </c>
      <c r="AF69" s="45">
        <f t="shared" si="14"/>
        <v>42840.74820277706</v>
      </c>
      <c r="AG69" s="45">
        <f t="shared" si="15"/>
        <v>231028.4598704724</v>
      </c>
      <c r="AH69" s="47">
        <f>IF(Y69="No",0,IFERROR(ROUNDDOWN(INDEX('90% of ACR'!K:K,MATCH(H:H,'90% of ACR'!A:A,0))*IF(I69&gt;0,IF(O69&gt;0,$R$4*MAX(O69-V69,0),0),0)/I69,2),0))</f>
        <v>11.82</v>
      </c>
      <c r="AI69" s="86">
        <f>IF(Y69="No",0,IFERROR(ROUNDDOWN(INDEX('90% of ACR'!R:R,MATCH(H:H,'90% of ACR'!A:A,0))*IF(J69&gt;0,IF(P69&gt;0,$R$4*MAX(P69-W69,0),0),0)/J69,2),0))</f>
        <v>7.0000000000000007E-2</v>
      </c>
      <c r="AJ69" s="45">
        <f t="shared" si="16"/>
        <v>188187.71166769534</v>
      </c>
      <c r="AK69" s="45">
        <f t="shared" si="17"/>
        <v>21420.37410138853</v>
      </c>
      <c r="AL69" s="47">
        <f t="shared" si="18"/>
        <v>12.57</v>
      </c>
      <c r="AM69" s="47">
        <f t="shared" si="19"/>
        <v>1.9000000000000001</v>
      </c>
      <c r="AN69" s="87">
        <f>IFERROR(INDEX(FeeCalc!P:P,MATCH(C69,FeeCalc!F:F,0)),0)</f>
        <v>781538.71049720654</v>
      </c>
      <c r="AO69" s="87">
        <f>IFERROR(INDEX(FeeCalc!S:S,MATCH(C69,FeeCalc!F:F,0)),0)</f>
        <v>48937.343381220242</v>
      </c>
      <c r="AP69" s="87">
        <f t="shared" si="20"/>
        <v>830476.05387842678</v>
      </c>
      <c r="AQ69" s="72">
        <f t="shared" si="21"/>
        <v>352397.56489434064</v>
      </c>
      <c r="AR69" s="72">
        <f t="shared" si="22"/>
        <v>176198.78244717032</v>
      </c>
      <c r="AS69" s="72">
        <f t="shared" si="23"/>
        <v>176198.78244717032</v>
      </c>
      <c r="AT69" s="72">
        <f>IFERROR(IFERROR(INDEX('2023 IP UPL Data'!L:L,MATCH(A:A,'2023 IP UPL Data'!B:B,0)),INDEX('2023 IMD UPL Data'!I:I,MATCH(A:A,'2023 IMD UPL Data'!B:B,0))),0)</f>
        <v>38277.018987341769</v>
      </c>
      <c r="AU69" s="72">
        <f>IFERROR(IF(F67="IMD",0,INDEX('2023 OP UPL Data'!J:J,MATCH(A:A,'2023 OP UPL Data'!B:B,0))),0)</f>
        <v>251751.86075949366</v>
      </c>
      <c r="AV69" s="45">
        <f t="shared" si="24"/>
        <v>290028.87974683545</v>
      </c>
      <c r="AW69" s="72">
        <f>IFERROR(IFERROR(INDEX('2023 IP UPL Data'!M:M,MATCH(A:A,'2023 IP UPL Data'!B:B,0)),INDEX('2023 IMD UPL Data'!K:K,MATCH(A:A,'2023 IMD UPL Data'!B:B,0))),0)</f>
        <v>369855.78</v>
      </c>
      <c r="AX69" s="72">
        <f>IFERROR(IF(F67="IMD",0,INDEX('2023 OP UPL Data'!L:L,MATCH(A:A,'2023 OP UPL Data'!B:B,0))),0)</f>
        <v>421024.69</v>
      </c>
      <c r="AY69" s="45">
        <f t="shared" si="25"/>
        <v>790880.47</v>
      </c>
      <c r="AZ69" s="72">
        <v>320399.22304331022</v>
      </c>
      <c r="BA69" s="72">
        <v>874802.58786811947</v>
      </c>
      <c r="BB69" s="72">
        <f t="shared" si="26"/>
        <v>308458.37839434476</v>
      </c>
      <c r="BC69" s="72">
        <f t="shared" si="27"/>
        <v>314812.80778896227</v>
      </c>
      <c r="BD69" s="72">
        <f t="shared" si="28"/>
        <v>623271.18618330697</v>
      </c>
      <c r="BE69" s="94">
        <f t="shared" si="29"/>
        <v>0</v>
      </c>
      <c r="BF69" s="94">
        <f t="shared" si="30"/>
        <v>453777.89786811947</v>
      </c>
      <c r="BG69" s="73">
        <f>IFERROR(INDEX('2023 IP UPL Data'!K:K,MATCH(A69,'2023 IP UPL Data'!B:B,0)),0)</f>
        <v>0</v>
      </c>
    </row>
    <row r="70" spans="1:59">
      <c r="A70" s="124" t="s">
        <v>3070</v>
      </c>
      <c r="B70" s="149" t="s">
        <v>3070</v>
      </c>
      <c r="C70" s="31" t="s">
        <v>3199</v>
      </c>
      <c r="D70" s="181" t="s">
        <v>3199</v>
      </c>
      <c r="E70" s="144" t="s">
        <v>3071</v>
      </c>
      <c r="F70" s="120" t="s">
        <v>2718</v>
      </c>
      <c r="G70" s="120" t="s">
        <v>1202</v>
      </c>
      <c r="H70" s="43" t="str">
        <f t="shared" ref="H70:H133" si="34">CONCATENATE(F70," ",G70)</f>
        <v>Urban Travis</v>
      </c>
      <c r="I70" s="45">
        <f>INDEX(FeeCalc!M:M,MATCH(C:C,FeeCalc!F:F,0))</f>
        <v>17199.353348745775</v>
      </c>
      <c r="J70" s="45">
        <f>INDEX(FeeCalc!L:L,MATCH(C:C,FeeCalc!F:F,0))</f>
        <v>466426.36475698487</v>
      </c>
      <c r="K70" s="45">
        <f t="shared" ref="K70:K133" si="35">I70+J70</f>
        <v>483625.71810573066</v>
      </c>
      <c r="L70" s="45">
        <f>IFERROR(IFERROR(INDEX('2023 IP UPL Data'!N:N,MATCH(A:A,'2023 IP UPL Data'!B:B,0)),INDEX('2023 IMD UPL Data'!M:M,MATCH(A:A,'2023 IMD UPL Data'!B:B,0))),0)</f>
        <v>50636.31</v>
      </c>
      <c r="M70" s="45">
        <f>IFERROR((IF(F70="IMD",0,INDEX('2023 OP UPL Data'!M:M,MATCH(A:A,'2023 OP UPL Data'!B:B,0)))),0)</f>
        <v>352155.87000000011</v>
      </c>
      <c r="N70" s="45">
        <f t="shared" ref="N70:N133" si="36">+L70+M70</f>
        <v>402792.18000000011</v>
      </c>
      <c r="O70" s="45">
        <v>49603.011085638442</v>
      </c>
      <c r="P70" s="45">
        <v>805293.62424512743</v>
      </c>
      <c r="Q70" s="45">
        <f t="shared" ref="Q70:Q133" si="37">O70+P70</f>
        <v>854896.63533076586</v>
      </c>
      <c r="R70" s="45" t="str">
        <f t="shared" ref="R70:S133" si="38">IF(O70&gt;0,"Yes","No")</f>
        <v>Yes</v>
      </c>
      <c r="S70" s="46" t="str">
        <f t="shared" si="38"/>
        <v>Yes</v>
      </c>
      <c r="T70" s="47">
        <f>ROUND(INDEX(Summary!H:H,MATCH(H:H,Summary!A:A,0)),2)</f>
        <v>0.75</v>
      </c>
      <c r="U70" s="47">
        <f>ROUND(INDEX(Summary!I:I,MATCH(H:H,Summary!A:A,0)),2)</f>
        <v>1.83</v>
      </c>
      <c r="V70" s="85">
        <f t="shared" ref="V70:W133" si="39">+T70*I70</f>
        <v>12899.515011559331</v>
      </c>
      <c r="W70" s="85">
        <f t="shared" si="39"/>
        <v>853560.2475052824</v>
      </c>
      <c r="X70" s="45">
        <f t="shared" ref="X70:X133" si="40">+V70+W70</f>
        <v>866459.76251684176</v>
      </c>
      <c r="Y70" s="45" t="s">
        <v>3223</v>
      </c>
      <c r="Z70" s="45" t="str">
        <f t="shared" ref="Z70:AA133" si="41">IF(AJ70&gt;0,"Yes","No")</f>
        <v>Yes</v>
      </c>
      <c r="AA70" s="45" t="str">
        <f t="shared" si="41"/>
        <v>No</v>
      </c>
      <c r="AB70" s="45" t="str">
        <f t="shared" ref="AB70:AB133" si="42">IF(AG70&gt;0,"Yes","No")</f>
        <v>Yes</v>
      </c>
      <c r="AC70" s="86">
        <f t="shared" si="31"/>
        <v>1.49</v>
      </c>
      <c r="AD70" s="86">
        <f t="shared" si="32"/>
        <v>0</v>
      </c>
      <c r="AE70" s="45">
        <f t="shared" si="33"/>
        <v>25627.036489631206</v>
      </c>
      <c r="AF70" s="45">
        <f t="shared" si="33"/>
        <v>0</v>
      </c>
      <c r="AG70" s="45">
        <f t="shared" ref="AG70:AG133" si="43">AE70+AF70</f>
        <v>25627.036489631206</v>
      </c>
      <c r="AH70" s="47">
        <f>IF(Y70="No",0,IFERROR(ROUNDDOWN(INDEX('90% of ACR'!K:K,MATCH(H:H,'90% of ACR'!A:A,0))*IF(I70&gt;0,IF(O70&gt;0,$R$4*MAX(O70-V70,0),0),0)/I70,2),0))</f>
        <v>1.48</v>
      </c>
      <c r="AI70" s="86">
        <f>IF(Y70="No",0,IFERROR(ROUNDDOWN(INDEX('90% of ACR'!R:R,MATCH(H:H,'90% of ACR'!A:A,0))*IF(J70&gt;0,IF(P70&gt;0,$R$4*MAX(P70-W70,0),0),0)/J70,2),0))</f>
        <v>0</v>
      </c>
      <c r="AJ70" s="45">
        <f t="shared" ref="AJ70:AK133" si="44">I70*AH70</f>
        <v>25455.042956143749</v>
      </c>
      <c r="AK70" s="45">
        <f t="shared" si="44"/>
        <v>0</v>
      </c>
      <c r="AL70" s="47">
        <f t="shared" ref="AL70:AM133" si="45">T70+AH70</f>
        <v>2.23</v>
      </c>
      <c r="AM70" s="47">
        <f t="shared" si="45"/>
        <v>1.83</v>
      </c>
      <c r="AN70" s="87">
        <f>IFERROR(INDEX(FeeCalc!P:P,MATCH(C70,FeeCalc!F:F,0)),0)</f>
        <v>891914.80547298549</v>
      </c>
      <c r="AO70" s="87">
        <f>IFERROR(INDEX(FeeCalc!S:S,MATCH(C70,FeeCalc!F:F,0)),0)</f>
        <v>55318.438950568467</v>
      </c>
      <c r="AP70" s="87">
        <f t="shared" ref="AP70:AP133" si="46">AN70+AO70</f>
        <v>947233.24442355393</v>
      </c>
      <c r="AQ70" s="72">
        <f t="shared" ref="AQ70:AQ133" si="47">$AQ$3*AP70*1.08</f>
        <v>401941.37707273557</v>
      </c>
      <c r="AR70" s="72">
        <f t="shared" ref="AR70:AR133" si="48">AQ70*0.5</f>
        <v>200970.68853636779</v>
      </c>
      <c r="AS70" s="72">
        <f t="shared" ref="AS70:AS133" si="49">AR70</f>
        <v>200970.68853636779</v>
      </c>
      <c r="AT70" s="72">
        <f>IFERROR(IFERROR(INDEX('2023 IP UPL Data'!L:L,MATCH(A:A,'2023 IP UPL Data'!B:B,0)),INDEX('2023 IMD UPL Data'!I:I,MATCH(A:A,'2023 IMD UPL Data'!B:B,0))),0)</f>
        <v>10355.09</v>
      </c>
      <c r="AU70" s="72">
        <f>IFERROR(IF(F68="IMD",0,INDEX('2023 OP UPL Data'!J:J,MATCH(A:A,'2023 OP UPL Data'!B:B,0))),0)</f>
        <v>591317.17999999993</v>
      </c>
      <c r="AV70" s="45">
        <f t="shared" ref="AV70:AV133" si="50">AT70+AU70</f>
        <v>601672.2699999999</v>
      </c>
      <c r="AW70" s="72">
        <f>IFERROR(IFERROR(INDEX('2023 IP UPL Data'!M:M,MATCH(A:A,'2023 IP UPL Data'!B:B,0)),INDEX('2023 IMD UPL Data'!K:K,MATCH(A:A,'2023 IMD UPL Data'!B:B,0))),0)</f>
        <v>60991.4</v>
      </c>
      <c r="AX70" s="72">
        <f>IFERROR(IF(F68="IMD",0,INDEX('2023 OP UPL Data'!L:L,MATCH(A:A,'2023 OP UPL Data'!B:B,0))),0)</f>
        <v>943473.05</v>
      </c>
      <c r="AY70" s="45">
        <f t="shared" ref="AY70:AY133" si="51">AW70+AX70</f>
        <v>1004464.4500000001</v>
      </c>
      <c r="AZ70" s="72">
        <v>59958.101085638438</v>
      </c>
      <c r="BA70" s="72">
        <v>1396610.8042451274</v>
      </c>
      <c r="BB70" s="72">
        <f t="shared" ref="BB70:BC133" si="52">IF(AZ70&gt;V70,AZ70-V70,0)</f>
        <v>47058.58607407911</v>
      </c>
      <c r="BC70" s="72">
        <f t="shared" si="52"/>
        <v>543050.55673984496</v>
      </c>
      <c r="BD70" s="72">
        <f t="shared" ref="BD70:BD133" si="53">IF(AZ70+BA70&gt;X70,AZ70+BA70-X70,0)</f>
        <v>590109.142813924</v>
      </c>
      <c r="BE70" s="94">
        <f t="shared" ref="BE70:BF133" si="54">IF(AZ70&gt;AW70,AZ70-AW70,0)</f>
        <v>0</v>
      </c>
      <c r="BF70" s="94">
        <f t="shared" si="54"/>
        <v>453137.75424512732</v>
      </c>
      <c r="BG70" s="73">
        <f>IFERROR(INDEX('2023 IP UPL Data'!K:K,MATCH(A70,'2023 IP UPL Data'!B:B,0)),0)</f>
        <v>0</v>
      </c>
    </row>
    <row r="71" spans="1:59">
      <c r="A71" s="124" t="s">
        <v>1101</v>
      </c>
      <c r="B71" s="149" t="s">
        <v>1101</v>
      </c>
      <c r="C71" s="31" t="s">
        <v>1102</v>
      </c>
      <c r="D71" s="181" t="s">
        <v>1102</v>
      </c>
      <c r="E71" s="144" t="s">
        <v>3450</v>
      </c>
      <c r="F71" s="120" t="s">
        <v>2718</v>
      </c>
      <c r="G71" s="120" t="s">
        <v>1366</v>
      </c>
      <c r="H71" s="43" t="str">
        <f t="shared" si="34"/>
        <v>Urban Tarrant</v>
      </c>
      <c r="I71" s="45">
        <f>INDEX(FeeCalc!M:M,MATCH(C:C,FeeCalc!F:F,0))</f>
        <v>25437622.122028202</v>
      </c>
      <c r="J71" s="45">
        <f>INDEX(FeeCalc!L:L,MATCH(C:C,FeeCalc!F:F,0))</f>
        <v>6383685.6686131125</v>
      </c>
      <c r="K71" s="45">
        <f t="shared" si="35"/>
        <v>31821307.790641315</v>
      </c>
      <c r="L71" s="45">
        <f>IFERROR(IFERROR(INDEX('2023 IP UPL Data'!N:N,MATCH(A:A,'2023 IP UPL Data'!B:B,0)),INDEX('2023 IMD UPL Data'!M:M,MATCH(A:A,'2023 IMD UPL Data'!B:B,0))),0)</f>
        <v>24314150.914999992</v>
      </c>
      <c r="M71" s="45">
        <f>IFERROR((IF(F71="IMD",0,INDEX('2023 OP UPL Data'!M:M,MATCH(A:A,'2023 OP UPL Data'!B:B,0)))),0)</f>
        <v>10461970.268750001</v>
      </c>
      <c r="N71" s="45">
        <f t="shared" si="36"/>
        <v>34776121.183749989</v>
      </c>
      <c r="O71" s="45">
        <v>98779397.183910549</v>
      </c>
      <c r="P71" s="45">
        <v>20898119.022932753</v>
      </c>
      <c r="Q71" s="45">
        <f t="shared" si="37"/>
        <v>119677516.2068433</v>
      </c>
      <c r="R71" s="45" t="str">
        <f t="shared" si="38"/>
        <v>Yes</v>
      </c>
      <c r="S71" s="46" t="str">
        <f t="shared" si="38"/>
        <v>Yes</v>
      </c>
      <c r="T71" s="47">
        <f>ROUND(INDEX(Summary!H:H,MATCH(H:H,Summary!A:A,0)),2)</f>
        <v>1.68</v>
      </c>
      <c r="U71" s="47">
        <f>ROUND(INDEX(Summary!I:I,MATCH(H:H,Summary!A:A,0)),2)</f>
        <v>1.42</v>
      </c>
      <c r="V71" s="85">
        <f t="shared" si="39"/>
        <v>42735205.165007375</v>
      </c>
      <c r="W71" s="85">
        <f t="shared" si="39"/>
        <v>9064833.6494306196</v>
      </c>
      <c r="X71" s="45">
        <f t="shared" si="40"/>
        <v>51800038.814437993</v>
      </c>
      <c r="Y71" s="45" t="s">
        <v>3223</v>
      </c>
      <c r="Z71" s="45" t="str">
        <f t="shared" si="41"/>
        <v>Yes</v>
      </c>
      <c r="AA71" s="45" t="str">
        <f t="shared" si="41"/>
        <v>Yes</v>
      </c>
      <c r="AB71" s="45" t="str">
        <f t="shared" si="42"/>
        <v>Yes</v>
      </c>
      <c r="AC71" s="86">
        <f t="shared" ref="AC71:AC134" si="55">IF(Y71="No",0,IFERROR(ROUND(IF(I71&gt;0,IF(O71&gt;0,$R$4*MAX(O71-V71,0),0),0)/I71,2),0))</f>
        <v>1.53</v>
      </c>
      <c r="AD71" s="86">
        <f t="shared" ref="AD71:AD134" si="56">IF(Y71="No",0,IFERROR(ROUND(IF(J71&gt;0,IF(P71&gt;0,$R$4*MAX(P71-W71,0),0),0)/J71,2),0))</f>
        <v>1.29</v>
      </c>
      <c r="AE71" s="45">
        <f t="shared" ref="AE71:AF134" si="57">AC71*I71</f>
        <v>38919561.846703149</v>
      </c>
      <c r="AF71" s="45">
        <f t="shared" si="57"/>
        <v>8234954.5125109153</v>
      </c>
      <c r="AG71" s="45">
        <f t="shared" si="43"/>
        <v>47154516.359214067</v>
      </c>
      <c r="AH71" s="47">
        <f>IF(Y71="No",0,IFERROR(ROUNDDOWN(INDEX('90% of ACR'!K:K,MATCH(H:H,'90% of ACR'!A:A,0))*IF(I71&gt;0,IF(O71&gt;0,$R$4*MAX(O71-V71,0),0),0)/I71,2),0))</f>
        <v>1.53</v>
      </c>
      <c r="AI71" s="86">
        <f>IF(Y71="No",0,IFERROR(ROUNDDOWN(INDEX('90% of ACR'!R:R,MATCH(H:H,'90% of ACR'!A:A,0))*IF(J71&gt;0,IF(P71&gt;0,$R$4*MAX(P71-W71,0),0),0)/J71,2),0))</f>
        <v>1.05</v>
      </c>
      <c r="AJ71" s="45">
        <f t="shared" si="44"/>
        <v>38919561.846703149</v>
      </c>
      <c r="AK71" s="45">
        <f t="shared" si="44"/>
        <v>6702869.952043768</v>
      </c>
      <c r="AL71" s="47">
        <f t="shared" si="45"/>
        <v>3.21</v>
      </c>
      <c r="AM71" s="47">
        <f t="shared" si="45"/>
        <v>2.4699999999999998</v>
      </c>
      <c r="AN71" s="87">
        <f>IFERROR(INDEX(FeeCalc!P:P,MATCH(C71,FeeCalc!F:F,0)),0)</f>
        <v>97422470.613184914</v>
      </c>
      <c r="AO71" s="87">
        <f>IFERROR(INDEX(FeeCalc!S:S,MATCH(C71,FeeCalc!F:F,0)),0)</f>
        <v>6053226.0360297868</v>
      </c>
      <c r="AP71" s="87">
        <f t="shared" si="46"/>
        <v>103475696.6492147</v>
      </c>
      <c r="AQ71" s="72">
        <f t="shared" si="47"/>
        <v>43908049.310554579</v>
      </c>
      <c r="AR71" s="72">
        <f t="shared" si="48"/>
        <v>21954024.655277289</v>
      </c>
      <c r="AS71" s="72">
        <f t="shared" si="49"/>
        <v>21954024.655277289</v>
      </c>
      <c r="AT71" s="72">
        <f>IFERROR(IFERROR(INDEX('2023 IP UPL Data'!L:L,MATCH(A:A,'2023 IP UPL Data'!B:B,0)),INDEX('2023 IMD UPL Data'!I:I,MATCH(A:A,'2023 IMD UPL Data'!B:B,0))),0)</f>
        <v>26117986.225000009</v>
      </c>
      <c r="AU71" s="72">
        <f>IFERROR(IF(F69="IMD",0,INDEX('2023 OP UPL Data'!J:J,MATCH(A:A,'2023 OP UPL Data'!B:B,0))),0)</f>
        <v>3922407.7812499991</v>
      </c>
      <c r="AV71" s="45">
        <f t="shared" si="50"/>
        <v>30040394.006250009</v>
      </c>
      <c r="AW71" s="72">
        <f>IFERROR(IFERROR(INDEX('2023 IP UPL Data'!M:M,MATCH(A:A,'2023 IP UPL Data'!B:B,0)),INDEX('2023 IMD UPL Data'!K:K,MATCH(A:A,'2023 IMD UPL Data'!B:B,0))),0)</f>
        <v>50432137.140000001</v>
      </c>
      <c r="AX71" s="72">
        <f>IFERROR(IF(F69="IMD",0,INDEX('2023 OP UPL Data'!L:L,MATCH(A:A,'2023 OP UPL Data'!B:B,0))),0)</f>
        <v>14384378.050000001</v>
      </c>
      <c r="AY71" s="45">
        <f t="shared" si="51"/>
        <v>64816515.189999998</v>
      </c>
      <c r="AZ71" s="72">
        <v>124897383.40891056</v>
      </c>
      <c r="BA71" s="72">
        <v>24820526.804182753</v>
      </c>
      <c r="BB71" s="72">
        <f t="shared" si="52"/>
        <v>82162178.24390319</v>
      </c>
      <c r="BC71" s="72">
        <f t="shared" si="52"/>
        <v>15755693.154752133</v>
      </c>
      <c r="BD71" s="72">
        <f t="shared" si="53"/>
        <v>97917871.398655325</v>
      </c>
      <c r="BE71" s="94">
        <f t="shared" si="54"/>
        <v>74465246.268910557</v>
      </c>
      <c r="BF71" s="94">
        <f t="shared" si="54"/>
        <v>10436148.754182752</v>
      </c>
      <c r="BG71" s="73">
        <f>IFERROR(INDEX('2023 IP UPL Data'!K:K,MATCH(A71,'2023 IP UPL Data'!B:B,0)),0)</f>
        <v>0</v>
      </c>
    </row>
    <row r="72" spans="1:59">
      <c r="A72" s="124" t="s">
        <v>1095</v>
      </c>
      <c r="B72" s="149" t="s">
        <v>1095</v>
      </c>
      <c r="C72" s="31" t="s">
        <v>1096</v>
      </c>
      <c r="D72" s="181" t="s">
        <v>1096</v>
      </c>
      <c r="E72" s="144" t="s">
        <v>3451</v>
      </c>
      <c r="F72" s="120" t="s">
        <v>2718</v>
      </c>
      <c r="G72" s="120" t="s">
        <v>1366</v>
      </c>
      <c r="H72" s="43" t="str">
        <f t="shared" si="34"/>
        <v>Urban Tarrant</v>
      </c>
      <c r="I72" s="45">
        <f>INDEX(FeeCalc!M:M,MATCH(C:C,FeeCalc!F:F,0))</f>
        <v>449356.92140056757</v>
      </c>
      <c r="J72" s="45">
        <f>INDEX(FeeCalc!L:L,MATCH(C:C,FeeCalc!F:F,0))</f>
        <v>746095.03508683445</v>
      </c>
      <c r="K72" s="45">
        <f t="shared" si="35"/>
        <v>1195451.9564874021</v>
      </c>
      <c r="L72" s="45">
        <f>IFERROR(IFERROR(INDEX('2023 IP UPL Data'!N:N,MATCH(A:A,'2023 IP UPL Data'!B:B,0)),INDEX('2023 IMD UPL Data'!M:M,MATCH(A:A,'2023 IMD UPL Data'!B:B,0))),0)</f>
        <v>218363.99250000005</v>
      </c>
      <c r="M72" s="45">
        <f>IFERROR((IF(F72="IMD",0,INDEX('2023 OP UPL Data'!M:M,MATCH(A:A,'2023 OP UPL Data'!B:B,0)))),0)</f>
        <v>650346.59875</v>
      </c>
      <c r="N72" s="45">
        <f t="shared" si="36"/>
        <v>868710.59125000006</v>
      </c>
      <c r="O72" s="45">
        <v>1245036.2228498491</v>
      </c>
      <c r="P72" s="45">
        <v>3133228.6253335159</v>
      </c>
      <c r="Q72" s="45">
        <f t="shared" si="37"/>
        <v>4378264.8481833655</v>
      </c>
      <c r="R72" s="45" t="str">
        <f t="shared" si="38"/>
        <v>Yes</v>
      </c>
      <c r="S72" s="46" t="str">
        <f t="shared" si="38"/>
        <v>Yes</v>
      </c>
      <c r="T72" s="47">
        <f>ROUND(INDEX(Summary!H:H,MATCH(H:H,Summary!A:A,0)),2)</f>
        <v>1.68</v>
      </c>
      <c r="U72" s="47">
        <f>ROUND(INDEX(Summary!I:I,MATCH(H:H,Summary!A:A,0)),2)</f>
        <v>1.42</v>
      </c>
      <c r="V72" s="85">
        <f t="shared" si="39"/>
        <v>754919.62795295345</v>
      </c>
      <c r="W72" s="85">
        <f t="shared" si="39"/>
        <v>1059454.9498233048</v>
      </c>
      <c r="X72" s="45">
        <f t="shared" si="40"/>
        <v>1814374.5777762583</v>
      </c>
      <c r="Y72" s="45" t="s">
        <v>3223</v>
      </c>
      <c r="Z72" s="45" t="str">
        <f t="shared" si="41"/>
        <v>Yes</v>
      </c>
      <c r="AA72" s="45" t="str">
        <f t="shared" si="41"/>
        <v>Yes</v>
      </c>
      <c r="AB72" s="45" t="str">
        <f t="shared" si="42"/>
        <v>Yes</v>
      </c>
      <c r="AC72" s="86">
        <f t="shared" si="55"/>
        <v>0.76</v>
      </c>
      <c r="AD72" s="86">
        <f t="shared" si="56"/>
        <v>1.94</v>
      </c>
      <c r="AE72" s="45">
        <f t="shared" si="57"/>
        <v>341511.26026443136</v>
      </c>
      <c r="AF72" s="45">
        <f t="shared" si="57"/>
        <v>1447424.3680684587</v>
      </c>
      <c r="AG72" s="45">
        <f t="shared" si="43"/>
        <v>1788935.6283328901</v>
      </c>
      <c r="AH72" s="47">
        <f>IF(Y72="No",0,IFERROR(ROUNDDOWN(INDEX('90% of ACR'!K:K,MATCH(H:H,'90% of ACR'!A:A,0))*IF(I72&gt;0,IF(O72&gt;0,$R$4*MAX(O72-V72,0),0),0)/I72,2),0))</f>
        <v>0.75</v>
      </c>
      <c r="AI72" s="86">
        <f>IF(Y72="No",0,IFERROR(ROUNDDOWN(INDEX('90% of ACR'!R:R,MATCH(H:H,'90% of ACR'!A:A,0))*IF(J72&gt;0,IF(P72&gt;0,$R$4*MAX(P72-W72,0),0),0)/J72,2),0))</f>
        <v>1.57</v>
      </c>
      <c r="AJ72" s="45">
        <f t="shared" si="44"/>
        <v>337017.6910504257</v>
      </c>
      <c r="AK72" s="45">
        <f t="shared" si="44"/>
        <v>1171369.2050863302</v>
      </c>
      <c r="AL72" s="47">
        <f t="shared" si="45"/>
        <v>2.4299999999999997</v>
      </c>
      <c r="AM72" s="47">
        <f t="shared" si="45"/>
        <v>2.99</v>
      </c>
      <c r="AN72" s="87">
        <f>IFERROR(INDEX(FeeCalc!P:P,MATCH(C72,FeeCalc!F:F,0)),0)</f>
        <v>3322761.4739130139</v>
      </c>
      <c r="AO72" s="87">
        <f>IFERROR(INDEX(FeeCalc!S:S,MATCH(C72,FeeCalc!F:F,0)),0)</f>
        <v>207446.56233357347</v>
      </c>
      <c r="AP72" s="87">
        <f t="shared" si="46"/>
        <v>3530208.0362465875</v>
      </c>
      <c r="AQ72" s="72">
        <f t="shared" si="47"/>
        <v>1497980.2364365873</v>
      </c>
      <c r="AR72" s="72">
        <f t="shared" si="48"/>
        <v>748990.11821829365</v>
      </c>
      <c r="AS72" s="72">
        <f t="shared" si="49"/>
        <v>748990.11821829365</v>
      </c>
      <c r="AT72" s="72">
        <f>IFERROR(IFERROR(INDEX('2023 IP UPL Data'!L:L,MATCH(A:A,'2023 IP UPL Data'!B:B,0)),INDEX('2023 IMD UPL Data'!I:I,MATCH(A:A,'2023 IMD UPL Data'!B:B,0))),0)</f>
        <v>299262.33749999997</v>
      </c>
      <c r="AU72" s="72">
        <f>IFERROR(IF(F70="IMD",0,INDEX('2023 OP UPL Data'!J:J,MATCH(A:A,'2023 OP UPL Data'!B:B,0))),0)</f>
        <v>509949.13124999998</v>
      </c>
      <c r="AV72" s="45">
        <f t="shared" si="50"/>
        <v>809211.46875</v>
      </c>
      <c r="AW72" s="72">
        <f>IFERROR(IFERROR(INDEX('2023 IP UPL Data'!M:M,MATCH(A:A,'2023 IP UPL Data'!B:B,0)),INDEX('2023 IMD UPL Data'!K:K,MATCH(A:A,'2023 IMD UPL Data'!B:B,0))),0)</f>
        <v>517626.33</v>
      </c>
      <c r="AX72" s="72">
        <f>IFERROR(IF(F70="IMD",0,INDEX('2023 OP UPL Data'!L:L,MATCH(A:A,'2023 OP UPL Data'!B:B,0))),0)</f>
        <v>1160295.73</v>
      </c>
      <c r="AY72" s="45">
        <f t="shared" si="51"/>
        <v>1677922.06</v>
      </c>
      <c r="AZ72" s="72">
        <v>1544298.5603498491</v>
      </c>
      <c r="BA72" s="72">
        <v>3643177.756583516</v>
      </c>
      <c r="BB72" s="72">
        <f t="shared" si="52"/>
        <v>789378.9323968956</v>
      </c>
      <c r="BC72" s="72">
        <f t="shared" si="52"/>
        <v>2583722.8067602115</v>
      </c>
      <c r="BD72" s="72">
        <f t="shared" si="53"/>
        <v>3373101.7391571072</v>
      </c>
      <c r="BE72" s="94">
        <f t="shared" si="54"/>
        <v>1026672.230349849</v>
      </c>
      <c r="BF72" s="94">
        <f t="shared" si="54"/>
        <v>2482882.026583516</v>
      </c>
      <c r="BG72" s="73">
        <f>IFERROR(INDEX('2023 IP UPL Data'!K:K,MATCH(A72,'2023 IP UPL Data'!B:B,0)),0)</f>
        <v>0</v>
      </c>
    </row>
    <row r="73" spans="1:59">
      <c r="A73" s="124" t="s">
        <v>1104</v>
      </c>
      <c r="B73" s="149" t="s">
        <v>1104</v>
      </c>
      <c r="C73" s="31" t="s">
        <v>1105</v>
      </c>
      <c r="D73" s="181" t="s">
        <v>1105</v>
      </c>
      <c r="E73" s="144" t="s">
        <v>3452</v>
      </c>
      <c r="F73" s="120" t="s">
        <v>2718</v>
      </c>
      <c r="G73" s="120" t="s">
        <v>1366</v>
      </c>
      <c r="H73" s="43" t="str">
        <f t="shared" si="34"/>
        <v>Urban Tarrant</v>
      </c>
      <c r="I73" s="45">
        <f>INDEX(FeeCalc!M:M,MATCH(C:C,FeeCalc!F:F,0))</f>
        <v>6447329.0984477326</v>
      </c>
      <c r="J73" s="45">
        <f>INDEX(FeeCalc!L:L,MATCH(C:C,FeeCalc!F:F,0))</f>
        <v>2132301.7245978145</v>
      </c>
      <c r="K73" s="45">
        <f t="shared" si="35"/>
        <v>8579630.8230455481</v>
      </c>
      <c r="L73" s="45">
        <f>IFERROR(IFERROR(INDEX('2023 IP UPL Data'!N:N,MATCH(A:A,'2023 IP UPL Data'!B:B,0)),INDEX('2023 IMD UPL Data'!M:M,MATCH(A:A,'2023 IMD UPL Data'!B:B,0))),0)</f>
        <v>6418158.2487500012</v>
      </c>
      <c r="M73" s="45">
        <f>IFERROR((IF(F73="IMD",0,INDEX('2023 OP UPL Data'!M:M,MATCH(A:A,'2023 OP UPL Data'!B:B,0)))),0)</f>
        <v>5538412.6762500005</v>
      </c>
      <c r="N73" s="45">
        <f t="shared" si="36"/>
        <v>11956570.925000001</v>
      </c>
      <c r="O73" s="45">
        <v>28095870.832226619</v>
      </c>
      <c r="P73" s="45">
        <v>10132529.085688584</v>
      </c>
      <c r="Q73" s="45">
        <f t="shared" si="37"/>
        <v>38228399.917915203</v>
      </c>
      <c r="R73" s="45" t="str">
        <f t="shared" si="38"/>
        <v>Yes</v>
      </c>
      <c r="S73" s="46" t="str">
        <f t="shared" si="38"/>
        <v>Yes</v>
      </c>
      <c r="T73" s="47">
        <f>ROUND(INDEX(Summary!H:H,MATCH(H:H,Summary!A:A,0)),2)</f>
        <v>1.68</v>
      </c>
      <c r="U73" s="47">
        <f>ROUND(INDEX(Summary!I:I,MATCH(H:H,Summary!A:A,0)),2)</f>
        <v>1.42</v>
      </c>
      <c r="V73" s="85">
        <f t="shared" si="39"/>
        <v>10831512.885392191</v>
      </c>
      <c r="W73" s="85">
        <f t="shared" si="39"/>
        <v>3027868.4489288963</v>
      </c>
      <c r="X73" s="45">
        <f t="shared" si="40"/>
        <v>13859381.334321087</v>
      </c>
      <c r="Y73" s="45" t="s">
        <v>3223</v>
      </c>
      <c r="Z73" s="45" t="str">
        <f t="shared" si="41"/>
        <v>Yes</v>
      </c>
      <c r="AA73" s="45" t="str">
        <f t="shared" si="41"/>
        <v>Yes</v>
      </c>
      <c r="AB73" s="45" t="str">
        <f t="shared" si="42"/>
        <v>Yes</v>
      </c>
      <c r="AC73" s="86">
        <f t="shared" si="55"/>
        <v>1.87</v>
      </c>
      <c r="AD73" s="86">
        <f t="shared" si="56"/>
        <v>2.3199999999999998</v>
      </c>
      <c r="AE73" s="45">
        <f t="shared" si="57"/>
        <v>12056505.414097261</v>
      </c>
      <c r="AF73" s="45">
        <f t="shared" si="57"/>
        <v>4946940.0010669297</v>
      </c>
      <c r="AG73" s="45">
        <f t="shared" si="43"/>
        <v>17003445.415164191</v>
      </c>
      <c r="AH73" s="47">
        <f>IF(Y73="No",0,IFERROR(ROUNDDOWN(INDEX('90% of ACR'!K:K,MATCH(H:H,'90% of ACR'!A:A,0))*IF(I73&gt;0,IF(O73&gt;0,$R$4*MAX(O73-V73,0),0),0)/I73,2),0))</f>
        <v>1.86</v>
      </c>
      <c r="AI73" s="86">
        <f>IF(Y73="No",0,IFERROR(ROUNDDOWN(INDEX('90% of ACR'!R:R,MATCH(H:H,'90% of ACR'!A:A,0))*IF(J73&gt;0,IF(P73&gt;0,$R$4*MAX(P73-W73,0),0),0)/J73,2),0))</f>
        <v>1.89</v>
      </c>
      <c r="AJ73" s="45">
        <f t="shared" si="44"/>
        <v>11992032.123112783</v>
      </c>
      <c r="AK73" s="45">
        <f t="shared" si="44"/>
        <v>4030050.2594898692</v>
      </c>
      <c r="AL73" s="47">
        <f t="shared" si="45"/>
        <v>3.54</v>
      </c>
      <c r="AM73" s="47">
        <f t="shared" si="45"/>
        <v>3.3099999999999996</v>
      </c>
      <c r="AN73" s="87">
        <f>IFERROR(INDEX(FeeCalc!P:P,MATCH(C73,FeeCalc!F:F,0)),0)</f>
        <v>29881463.71692374</v>
      </c>
      <c r="AO73" s="87">
        <f>IFERROR(INDEX(FeeCalc!S:S,MATCH(C73,FeeCalc!F:F,0)),0)</f>
        <v>1840794.9999511074</v>
      </c>
      <c r="AP73" s="87">
        <f t="shared" si="46"/>
        <v>31722258.716874845</v>
      </c>
      <c r="AQ73" s="72">
        <f t="shared" si="47"/>
        <v>13460769.485848939</v>
      </c>
      <c r="AR73" s="72">
        <f t="shared" si="48"/>
        <v>6730384.7429244695</v>
      </c>
      <c r="AS73" s="72">
        <f t="shared" si="49"/>
        <v>6730384.7429244695</v>
      </c>
      <c r="AT73" s="72">
        <f>IFERROR(IFERROR(INDEX('2023 IP UPL Data'!L:L,MATCH(A:A,'2023 IP UPL Data'!B:B,0)),INDEX('2023 IMD UPL Data'!I:I,MATCH(A:A,'2023 IMD UPL Data'!B:B,0))),0)</f>
        <v>6163634.3812499996</v>
      </c>
      <c r="AU73" s="72">
        <f>IFERROR(IF(F71="IMD",0,INDEX('2023 OP UPL Data'!J:J,MATCH(A:A,'2023 OP UPL Data'!B:B,0))),0)</f>
        <v>1144490.8937499998</v>
      </c>
      <c r="AV73" s="45">
        <f t="shared" si="50"/>
        <v>7308125.2749999994</v>
      </c>
      <c r="AW73" s="72">
        <f>IFERROR(IFERROR(INDEX('2023 IP UPL Data'!M:M,MATCH(A:A,'2023 IP UPL Data'!B:B,0)),INDEX('2023 IMD UPL Data'!K:K,MATCH(A:A,'2023 IMD UPL Data'!B:B,0))),0)</f>
        <v>12581792.630000001</v>
      </c>
      <c r="AX73" s="72">
        <f>IFERROR(IF(F71="IMD",0,INDEX('2023 OP UPL Data'!L:L,MATCH(A:A,'2023 OP UPL Data'!B:B,0))),0)</f>
        <v>6682903.5700000003</v>
      </c>
      <c r="AY73" s="45">
        <f t="shared" si="51"/>
        <v>19264696.200000003</v>
      </c>
      <c r="AZ73" s="72">
        <v>34259505.213476621</v>
      </c>
      <c r="BA73" s="72">
        <v>11277019.979438584</v>
      </c>
      <c r="BB73" s="72">
        <f t="shared" si="52"/>
        <v>23427992.328084432</v>
      </c>
      <c r="BC73" s="72">
        <f t="shared" si="52"/>
        <v>8249151.530509688</v>
      </c>
      <c r="BD73" s="72">
        <f t="shared" si="53"/>
        <v>31677143.858594112</v>
      </c>
      <c r="BE73" s="94">
        <f t="shared" si="54"/>
        <v>21677712.583476618</v>
      </c>
      <c r="BF73" s="94">
        <f t="shared" si="54"/>
        <v>4594116.409438584</v>
      </c>
      <c r="BG73" s="73">
        <f>IFERROR(INDEX('2023 IP UPL Data'!K:K,MATCH(A73,'2023 IP UPL Data'!B:B,0)),0)</f>
        <v>0</v>
      </c>
    </row>
    <row r="74" spans="1:59" ht="25.5">
      <c r="A74" s="124" t="s">
        <v>2807</v>
      </c>
      <c r="B74" s="149" t="s">
        <v>2807</v>
      </c>
      <c r="C74" s="31" t="s">
        <v>2806</v>
      </c>
      <c r="D74" s="181" t="s">
        <v>2806</v>
      </c>
      <c r="E74" s="144" t="s">
        <v>3453</v>
      </c>
      <c r="F74" s="120" t="s">
        <v>3069</v>
      </c>
      <c r="G74" s="120" t="s">
        <v>487</v>
      </c>
      <c r="H74" s="43" t="str">
        <f t="shared" si="34"/>
        <v>Non-state-owned IMD Bexar</v>
      </c>
      <c r="I74" s="45">
        <f>INDEX(FeeCalc!M:M,MATCH(C:C,FeeCalc!F:F,0))</f>
        <v>8725798.8310795557</v>
      </c>
      <c r="J74" s="45">
        <f>INDEX(FeeCalc!L:L,MATCH(C:C,FeeCalc!F:F,0))</f>
        <v>0</v>
      </c>
      <c r="K74" s="45">
        <f t="shared" si="35"/>
        <v>8725798.8310795557</v>
      </c>
      <c r="L74" s="45">
        <f>IFERROR(IFERROR(INDEX('2023 IP UPL Data'!N:N,MATCH(A:A,'2023 IP UPL Data'!B:B,0)),INDEX('2023 IMD UPL Data'!M:M,MATCH(A:A,'2023 IMD UPL Data'!B:B,0))),0)</f>
        <v>0</v>
      </c>
      <c r="M74" s="45">
        <f>IFERROR((IF(F74="IMD",0,INDEX('2023 OP UPL Data'!M:M,MATCH(A:A,'2023 OP UPL Data'!B:B,0)))),0)</f>
        <v>0</v>
      </c>
      <c r="N74" s="45">
        <f t="shared" si="36"/>
        <v>0</v>
      </c>
      <c r="O74" s="45">
        <v>0</v>
      </c>
      <c r="P74" s="45">
        <v>0</v>
      </c>
      <c r="Q74" s="45">
        <f t="shared" si="37"/>
        <v>0</v>
      </c>
      <c r="R74" s="45" t="str">
        <f t="shared" si="38"/>
        <v>No</v>
      </c>
      <c r="S74" s="46" t="str">
        <f t="shared" si="38"/>
        <v>No</v>
      </c>
      <c r="T74" s="47">
        <f>ROUND(INDEX(Summary!H:H,MATCH(H:H,Summary!A:A,0)),2)</f>
        <v>0.14000000000000001</v>
      </c>
      <c r="U74" s="47">
        <f>ROUND(INDEX(Summary!I:I,MATCH(H:H,Summary!A:A,0)),2)</f>
        <v>0</v>
      </c>
      <c r="V74" s="85">
        <f t="shared" si="39"/>
        <v>1221611.8363511378</v>
      </c>
      <c r="W74" s="85">
        <f t="shared" si="39"/>
        <v>0</v>
      </c>
      <c r="X74" s="45">
        <f t="shared" si="40"/>
        <v>1221611.8363511378</v>
      </c>
      <c r="Y74" s="45" t="s">
        <v>3223</v>
      </c>
      <c r="Z74" s="45" t="str">
        <f t="shared" si="41"/>
        <v>No</v>
      </c>
      <c r="AA74" s="45" t="str">
        <f t="shared" si="41"/>
        <v>No</v>
      </c>
      <c r="AB74" s="45" t="str">
        <f t="shared" si="42"/>
        <v>No</v>
      </c>
      <c r="AC74" s="86">
        <f t="shared" si="55"/>
        <v>0</v>
      </c>
      <c r="AD74" s="86">
        <f t="shared" si="56"/>
        <v>0</v>
      </c>
      <c r="AE74" s="45">
        <f t="shared" si="57"/>
        <v>0</v>
      </c>
      <c r="AF74" s="45">
        <f t="shared" si="57"/>
        <v>0</v>
      </c>
      <c r="AG74" s="45">
        <f t="shared" si="43"/>
        <v>0</v>
      </c>
      <c r="AH74" s="47">
        <f>IF(Y74="No",0,IFERROR(ROUNDDOWN(INDEX('90% of ACR'!K:K,MATCH(H:H,'90% of ACR'!A:A,0))*IF(I74&gt;0,IF(O74&gt;0,$R$4*MAX(O74-V74,0),0),0)/I74,2),0))</f>
        <v>0</v>
      </c>
      <c r="AI74" s="86">
        <f>IF(Y74="No",0,IFERROR(ROUNDDOWN(INDEX('90% of ACR'!R:R,MATCH(H:H,'90% of ACR'!A:A,0))*IF(J74&gt;0,IF(P74&gt;0,$R$4*MAX(P74-W74,0),0),0)/J74,2),0))</f>
        <v>0</v>
      </c>
      <c r="AJ74" s="45">
        <f t="shared" si="44"/>
        <v>0</v>
      </c>
      <c r="AK74" s="45">
        <f t="shared" si="44"/>
        <v>0</v>
      </c>
      <c r="AL74" s="47">
        <f t="shared" si="45"/>
        <v>0.14000000000000001</v>
      </c>
      <c r="AM74" s="47">
        <f t="shared" si="45"/>
        <v>0</v>
      </c>
      <c r="AN74" s="87">
        <f>IFERROR(INDEX(FeeCalc!P:P,MATCH(C74,FeeCalc!F:F,0)),0)</f>
        <v>1221611.8363511378</v>
      </c>
      <c r="AO74" s="87">
        <f>IFERROR(INDEX(FeeCalc!S:S,MATCH(C74,FeeCalc!F:F,0)),0)</f>
        <v>74528.043066515049</v>
      </c>
      <c r="AP74" s="87">
        <f t="shared" si="46"/>
        <v>1296139.879417653</v>
      </c>
      <c r="AQ74" s="72">
        <f t="shared" si="47"/>
        <v>549993.62731305161</v>
      </c>
      <c r="AR74" s="72">
        <f t="shared" si="48"/>
        <v>274996.8136565258</v>
      </c>
      <c r="AS74" s="72">
        <f t="shared" si="49"/>
        <v>274996.8136565258</v>
      </c>
      <c r="AT74" s="72">
        <f>IFERROR(IFERROR(INDEX('2023 IP UPL Data'!L:L,MATCH(A:A,'2023 IP UPL Data'!B:B,0)),INDEX('2023 IMD UPL Data'!I:I,MATCH(A:A,'2023 IMD UPL Data'!B:B,0))),0)</f>
        <v>0</v>
      </c>
      <c r="AU74" s="72">
        <f>IFERROR(IF(F72="IMD",0,INDEX('2023 OP UPL Data'!J:J,MATCH(A:A,'2023 OP UPL Data'!B:B,0))),0)</f>
        <v>0</v>
      </c>
      <c r="AV74" s="45">
        <f t="shared" si="50"/>
        <v>0</v>
      </c>
      <c r="AW74" s="72">
        <f>IFERROR(IFERROR(INDEX('2023 IP UPL Data'!M:M,MATCH(A:A,'2023 IP UPL Data'!B:B,0)),INDEX('2023 IMD UPL Data'!K:K,MATCH(A:A,'2023 IMD UPL Data'!B:B,0))),0)</f>
        <v>0</v>
      </c>
      <c r="AX74" s="72">
        <f>IFERROR(IF(F72="IMD",0,INDEX('2023 OP UPL Data'!L:L,MATCH(A:A,'2023 OP UPL Data'!B:B,0))),0)</f>
        <v>0</v>
      </c>
      <c r="AY74" s="45">
        <f t="shared" si="51"/>
        <v>0</v>
      </c>
      <c r="AZ74" s="72">
        <v>0</v>
      </c>
      <c r="BA74" s="72">
        <v>0</v>
      </c>
      <c r="BB74" s="72">
        <f t="shared" si="52"/>
        <v>0</v>
      </c>
      <c r="BC74" s="72">
        <f t="shared" si="52"/>
        <v>0</v>
      </c>
      <c r="BD74" s="72">
        <f t="shared" si="53"/>
        <v>0</v>
      </c>
      <c r="BE74" s="94">
        <f t="shared" si="54"/>
        <v>0</v>
      </c>
      <c r="BF74" s="94">
        <f t="shared" si="54"/>
        <v>0</v>
      </c>
      <c r="BG74" s="73">
        <f>IFERROR(INDEX('2023 IP UPL Data'!K:K,MATCH(A74,'2023 IP UPL Data'!B:B,0)),0)</f>
        <v>0</v>
      </c>
    </row>
    <row r="75" spans="1:59">
      <c r="A75" s="124" t="s">
        <v>1418</v>
      </c>
      <c r="B75" s="149" t="s">
        <v>1418</v>
      </c>
      <c r="C75" s="31" t="s">
        <v>1419</v>
      </c>
      <c r="D75" s="181" t="s">
        <v>1419</v>
      </c>
      <c r="E75" s="144" t="s">
        <v>3119</v>
      </c>
      <c r="F75" s="120" t="s">
        <v>2718</v>
      </c>
      <c r="G75" s="120" t="s">
        <v>1202</v>
      </c>
      <c r="H75" s="43" t="str">
        <f t="shared" si="34"/>
        <v>Urban Travis</v>
      </c>
      <c r="I75" s="45">
        <f>INDEX(FeeCalc!M:M,MATCH(C:C,FeeCalc!F:F,0))</f>
        <v>178243.08686679372</v>
      </c>
      <c r="J75" s="45">
        <f>INDEX(FeeCalc!L:L,MATCH(C:C,FeeCalc!F:F,0))</f>
        <v>0</v>
      </c>
      <c r="K75" s="45">
        <f t="shared" si="35"/>
        <v>178243.08686679372</v>
      </c>
      <c r="L75" s="45">
        <f>IFERROR(IFERROR(INDEX('2023 IP UPL Data'!N:N,MATCH(A:A,'2023 IP UPL Data'!B:B,0)),INDEX('2023 IMD UPL Data'!M:M,MATCH(A:A,'2023 IMD UPL Data'!B:B,0))),0)</f>
        <v>119855.5</v>
      </c>
      <c r="M75" s="45">
        <f>IFERROR((IF(F75="IMD",0,INDEX('2023 OP UPL Data'!M:M,MATCH(A:A,'2023 OP UPL Data'!B:B,0)))),0)</f>
        <v>0</v>
      </c>
      <c r="N75" s="45">
        <f t="shared" si="36"/>
        <v>119855.5</v>
      </c>
      <c r="O75" s="45">
        <v>33517.47417900688</v>
      </c>
      <c r="P75" s="45">
        <v>0</v>
      </c>
      <c r="Q75" s="45">
        <f t="shared" si="37"/>
        <v>33517.47417900688</v>
      </c>
      <c r="R75" s="45" t="str">
        <f t="shared" si="38"/>
        <v>Yes</v>
      </c>
      <c r="S75" s="46" t="str">
        <f t="shared" si="38"/>
        <v>No</v>
      </c>
      <c r="T75" s="47">
        <f>ROUND(INDEX(Summary!H:H,MATCH(H:H,Summary!A:A,0)),2)</f>
        <v>0.75</v>
      </c>
      <c r="U75" s="47">
        <f>ROUND(INDEX(Summary!I:I,MATCH(H:H,Summary!A:A,0)),2)</f>
        <v>1.83</v>
      </c>
      <c r="V75" s="85">
        <f t="shared" si="39"/>
        <v>133682.3151500953</v>
      </c>
      <c r="W75" s="85">
        <f t="shared" si="39"/>
        <v>0</v>
      </c>
      <c r="X75" s="45">
        <f t="shared" si="40"/>
        <v>133682.3151500953</v>
      </c>
      <c r="Y75" s="45" t="s">
        <v>3223</v>
      </c>
      <c r="Z75" s="45" t="str">
        <f t="shared" si="41"/>
        <v>No</v>
      </c>
      <c r="AA75" s="45" t="str">
        <f t="shared" si="41"/>
        <v>No</v>
      </c>
      <c r="AB75" s="45" t="str">
        <f t="shared" si="42"/>
        <v>No</v>
      </c>
      <c r="AC75" s="86">
        <f t="shared" si="55"/>
        <v>0</v>
      </c>
      <c r="AD75" s="86">
        <f t="shared" si="56"/>
        <v>0</v>
      </c>
      <c r="AE75" s="45">
        <f t="shared" si="57"/>
        <v>0</v>
      </c>
      <c r="AF75" s="45">
        <f t="shared" si="57"/>
        <v>0</v>
      </c>
      <c r="AG75" s="45">
        <f t="shared" si="43"/>
        <v>0</v>
      </c>
      <c r="AH75" s="47">
        <f>IF(Y75="No",0,IFERROR(ROUNDDOWN(INDEX('90% of ACR'!K:K,MATCH(H:H,'90% of ACR'!A:A,0))*IF(I75&gt;0,IF(O75&gt;0,$R$4*MAX(O75-V75,0),0),0)/I75,2),0))</f>
        <v>0</v>
      </c>
      <c r="AI75" s="86">
        <f>IF(Y75="No",0,IFERROR(ROUNDDOWN(INDEX('90% of ACR'!R:R,MATCH(H:H,'90% of ACR'!A:A,0))*IF(J75&gt;0,IF(P75&gt;0,$R$4*MAX(P75-W75,0),0),0)/J75,2),0))</f>
        <v>0</v>
      </c>
      <c r="AJ75" s="45">
        <f t="shared" si="44"/>
        <v>0</v>
      </c>
      <c r="AK75" s="45">
        <f t="shared" si="44"/>
        <v>0</v>
      </c>
      <c r="AL75" s="47">
        <f t="shared" si="45"/>
        <v>0.75</v>
      </c>
      <c r="AM75" s="47">
        <f t="shared" si="45"/>
        <v>1.83</v>
      </c>
      <c r="AN75" s="87">
        <f>IFERROR(INDEX(FeeCalc!P:P,MATCH(C75,FeeCalc!F:F,0)),0)</f>
        <v>133682.3151500953</v>
      </c>
      <c r="AO75" s="87">
        <f>IFERROR(INDEX(FeeCalc!S:S,MATCH(C75,FeeCalc!F:F,0)),0)</f>
        <v>8225.7362752555237</v>
      </c>
      <c r="AP75" s="87">
        <f t="shared" si="46"/>
        <v>141908.05142535083</v>
      </c>
      <c r="AQ75" s="72">
        <f t="shared" si="47"/>
        <v>60216.127277421976</v>
      </c>
      <c r="AR75" s="72">
        <f t="shared" si="48"/>
        <v>30108.063638710988</v>
      </c>
      <c r="AS75" s="72">
        <f t="shared" si="49"/>
        <v>30108.063638710988</v>
      </c>
      <c r="AT75" s="72">
        <f>IFERROR(IFERROR(INDEX('2023 IP UPL Data'!L:L,MATCH(A:A,'2023 IP UPL Data'!B:B,0)),INDEX('2023 IMD UPL Data'!I:I,MATCH(A:A,'2023 IMD UPL Data'!B:B,0))),0)</f>
        <v>92650</v>
      </c>
      <c r="AU75" s="72">
        <f>IFERROR(IF(F73="IMD",0,INDEX('2023 OP UPL Data'!J:J,MATCH(A:A,'2023 OP UPL Data'!B:B,0))),0)</f>
        <v>0</v>
      </c>
      <c r="AV75" s="45">
        <f t="shared" si="50"/>
        <v>92650</v>
      </c>
      <c r="AW75" s="72">
        <f>IFERROR(IFERROR(INDEX('2023 IP UPL Data'!M:M,MATCH(A:A,'2023 IP UPL Data'!B:B,0)),INDEX('2023 IMD UPL Data'!K:K,MATCH(A:A,'2023 IMD UPL Data'!B:B,0))),0)</f>
        <v>212505.5</v>
      </c>
      <c r="AX75" s="72">
        <f>IFERROR(IF(F73="IMD",0,INDEX('2023 OP UPL Data'!L:L,MATCH(A:A,'2023 OP UPL Data'!B:B,0))),0)</f>
        <v>0</v>
      </c>
      <c r="AY75" s="45">
        <f t="shared" si="51"/>
        <v>212505.5</v>
      </c>
      <c r="AZ75" s="72">
        <v>126167.47417900688</v>
      </c>
      <c r="BA75" s="72">
        <v>0</v>
      </c>
      <c r="BB75" s="72">
        <f t="shared" si="52"/>
        <v>0</v>
      </c>
      <c r="BC75" s="72">
        <f t="shared" si="52"/>
        <v>0</v>
      </c>
      <c r="BD75" s="72">
        <f t="shared" si="53"/>
        <v>0</v>
      </c>
      <c r="BE75" s="94">
        <f t="shared" si="54"/>
        <v>0</v>
      </c>
      <c r="BF75" s="94">
        <f t="shared" si="54"/>
        <v>0</v>
      </c>
      <c r="BG75" s="73">
        <f>IFERROR(INDEX('2023 IP UPL Data'!K:K,MATCH(A75,'2023 IP UPL Data'!B:B,0)),0)</f>
        <v>0</v>
      </c>
    </row>
    <row r="76" spans="1:59">
      <c r="A76" s="149" t="s">
        <v>3621</v>
      </c>
      <c r="B76" s="149" t="s">
        <v>3621</v>
      </c>
      <c r="C76" s="124" t="s">
        <v>3391</v>
      </c>
      <c r="D76" s="181" t="s">
        <v>3391</v>
      </c>
      <c r="E76" s="144" t="s">
        <v>3354</v>
      </c>
      <c r="F76" s="120" t="s">
        <v>2718</v>
      </c>
      <c r="G76" s="120" t="s">
        <v>227</v>
      </c>
      <c r="H76" s="43" t="str">
        <f t="shared" si="34"/>
        <v>Urban MRSA West</v>
      </c>
      <c r="I76" s="45">
        <f>INDEX(FeeCalc!M:M,MATCH(C:C,FeeCalc!F:F,0))</f>
        <v>160381.22348595152</v>
      </c>
      <c r="J76" s="45">
        <f>INDEX(FeeCalc!L:L,MATCH(C:C,FeeCalc!F:F,0))</f>
        <v>0</v>
      </c>
      <c r="K76" s="45">
        <f t="shared" si="35"/>
        <v>160381.22348595152</v>
      </c>
      <c r="L76" s="45">
        <f>IFERROR(IFERROR(INDEX('2023 IP UPL Data'!N:N,MATCH(A:A,'2023 IP UPL Data'!B:B,0)),INDEX('2023 IMD UPL Data'!M:M,MATCH(A:A,'2023 IMD UPL Data'!B:B,0))),0)</f>
        <v>0</v>
      </c>
      <c r="M76" s="45">
        <f>IFERROR((IF(F76="IMD",0,INDEX('2023 OP UPL Data'!M:M,MATCH(A:A,'2023 OP UPL Data'!B:B,0)))),0)</f>
        <v>0</v>
      </c>
      <c r="N76" s="45">
        <f t="shared" si="36"/>
        <v>0</v>
      </c>
      <c r="O76" s="45">
        <v>0</v>
      </c>
      <c r="P76" s="45">
        <v>0</v>
      </c>
      <c r="Q76" s="45">
        <f t="shared" si="37"/>
        <v>0</v>
      </c>
      <c r="R76" s="45" t="str">
        <f t="shared" si="38"/>
        <v>No</v>
      </c>
      <c r="S76" s="46" t="str">
        <f t="shared" si="38"/>
        <v>No</v>
      </c>
      <c r="T76" s="47">
        <f>ROUND(INDEX(Summary!H:H,MATCH(H:H,Summary!A:A,0)),2)</f>
        <v>0.43</v>
      </c>
      <c r="U76" s="47">
        <f>ROUND(INDEX(Summary!I:I,MATCH(H:H,Summary!A:A,0)),2)</f>
        <v>1.18</v>
      </c>
      <c r="V76" s="85">
        <f t="shared" si="39"/>
        <v>68963.926098959157</v>
      </c>
      <c r="W76" s="85">
        <f t="shared" si="39"/>
        <v>0</v>
      </c>
      <c r="X76" s="45">
        <f t="shared" si="40"/>
        <v>68963.926098959157</v>
      </c>
      <c r="Y76" s="45" t="s">
        <v>3223</v>
      </c>
      <c r="Z76" s="45" t="str">
        <f t="shared" si="41"/>
        <v>No</v>
      </c>
      <c r="AA76" s="45" t="str">
        <f t="shared" si="41"/>
        <v>No</v>
      </c>
      <c r="AB76" s="45" t="str">
        <f t="shared" si="42"/>
        <v>No</v>
      </c>
      <c r="AC76" s="86">
        <f t="shared" si="55"/>
        <v>0</v>
      </c>
      <c r="AD76" s="86">
        <f t="shared" si="56"/>
        <v>0</v>
      </c>
      <c r="AE76" s="45">
        <f t="shared" si="57"/>
        <v>0</v>
      </c>
      <c r="AF76" s="45">
        <f t="shared" si="57"/>
        <v>0</v>
      </c>
      <c r="AG76" s="45">
        <f t="shared" si="43"/>
        <v>0</v>
      </c>
      <c r="AH76" s="47">
        <f>IF(Y76="No",0,IFERROR(ROUNDDOWN(INDEX('90% of ACR'!K:K,MATCH(H:H,'90% of ACR'!A:A,0))*IF(I76&gt;0,IF(O76&gt;0,$R$4*MAX(O76-V76,0),0),0)/I76,2),0))</f>
        <v>0</v>
      </c>
      <c r="AI76" s="86">
        <f>IF(Y76="No",0,IFERROR(ROUNDDOWN(INDEX('90% of ACR'!R:R,MATCH(H:H,'90% of ACR'!A:A,0))*IF(J76&gt;0,IF(P76&gt;0,$R$4*MAX(P76-W76,0),0),0)/J76,2),0))</f>
        <v>0</v>
      </c>
      <c r="AJ76" s="45">
        <f t="shared" si="44"/>
        <v>0</v>
      </c>
      <c r="AK76" s="45">
        <f t="shared" si="44"/>
        <v>0</v>
      </c>
      <c r="AL76" s="47">
        <f t="shared" si="45"/>
        <v>0.43</v>
      </c>
      <c r="AM76" s="47">
        <f t="shared" si="45"/>
        <v>1.18</v>
      </c>
      <c r="AN76" s="87">
        <f>IFERROR(INDEX(FeeCalc!P:P,MATCH(C76,FeeCalc!F:F,0)),0)</f>
        <v>68963.926098959157</v>
      </c>
      <c r="AO76" s="87">
        <f>IFERROR(INDEX(FeeCalc!S:S,MATCH(C76,FeeCalc!F:F,0)),0)</f>
        <v>4376.1680049591778</v>
      </c>
      <c r="AP76" s="87">
        <f t="shared" si="46"/>
        <v>73340.094103918338</v>
      </c>
      <c r="AQ76" s="72">
        <f t="shared" si="47"/>
        <v>31120.548811303881</v>
      </c>
      <c r="AR76" s="72">
        <f t="shared" si="48"/>
        <v>15560.27440565194</v>
      </c>
      <c r="AS76" s="72">
        <f t="shared" si="49"/>
        <v>15560.27440565194</v>
      </c>
      <c r="AT76" s="72">
        <f>IFERROR(IFERROR(INDEX('2023 IP UPL Data'!L:L,MATCH(A:A,'2023 IP UPL Data'!B:B,0)),INDEX('2023 IMD UPL Data'!I:I,MATCH(A:A,'2023 IMD UPL Data'!B:B,0))),0)</f>
        <v>0</v>
      </c>
      <c r="AU76" s="72">
        <f>IFERROR(IF(F74="IMD",0,INDEX('2023 OP UPL Data'!J:J,MATCH(A:A,'2023 OP UPL Data'!B:B,0))),0)</f>
        <v>0</v>
      </c>
      <c r="AV76" s="45">
        <f t="shared" si="50"/>
        <v>0</v>
      </c>
      <c r="AW76" s="72">
        <f>IFERROR(IFERROR(INDEX('2023 IP UPL Data'!M:M,MATCH(A:A,'2023 IP UPL Data'!B:B,0)),INDEX('2023 IMD UPL Data'!K:K,MATCH(A:A,'2023 IMD UPL Data'!B:B,0))),0)</f>
        <v>0</v>
      </c>
      <c r="AX76" s="72">
        <f>IFERROR(IF(F74="IMD",0,INDEX('2023 OP UPL Data'!L:L,MATCH(A:A,'2023 OP UPL Data'!B:B,0))),0)</f>
        <v>0</v>
      </c>
      <c r="AY76" s="45">
        <f t="shared" si="51"/>
        <v>0</v>
      </c>
      <c r="AZ76" s="72">
        <v>0</v>
      </c>
      <c r="BA76" s="72">
        <v>0</v>
      </c>
      <c r="BB76" s="72">
        <f t="shared" si="52"/>
        <v>0</v>
      </c>
      <c r="BC76" s="72">
        <f t="shared" si="52"/>
        <v>0</v>
      </c>
      <c r="BD76" s="72">
        <f t="shared" si="53"/>
        <v>0</v>
      </c>
      <c r="BE76" s="94">
        <f t="shared" si="54"/>
        <v>0</v>
      </c>
      <c r="BF76" s="94">
        <f t="shared" si="54"/>
        <v>0</v>
      </c>
      <c r="BG76" s="73">
        <f>IFERROR(INDEX('2023 IP UPL Data'!K:K,MATCH(A76,'2023 IP UPL Data'!B:B,0)),0)</f>
        <v>0</v>
      </c>
    </row>
    <row r="77" spans="1:59">
      <c r="A77" s="124" t="s">
        <v>1566</v>
      </c>
      <c r="B77" s="149" t="s">
        <v>1566</v>
      </c>
      <c r="C77" s="31" t="s">
        <v>1659</v>
      </c>
      <c r="D77" s="181" t="s">
        <v>1659</v>
      </c>
      <c r="E77" s="144" t="s">
        <v>3454</v>
      </c>
      <c r="F77" s="120" t="s">
        <v>2718</v>
      </c>
      <c r="G77" s="120" t="s">
        <v>1366</v>
      </c>
      <c r="H77" s="43" t="str">
        <f t="shared" si="34"/>
        <v>Urban Tarrant</v>
      </c>
      <c r="I77" s="45">
        <f>INDEX(FeeCalc!M:M,MATCH(C:C,FeeCalc!F:F,0))</f>
        <v>4874031.6355953207</v>
      </c>
      <c r="J77" s="45">
        <f>INDEX(FeeCalc!L:L,MATCH(C:C,FeeCalc!F:F,0))</f>
        <v>1671225.6752206057</v>
      </c>
      <c r="K77" s="45">
        <f t="shared" si="35"/>
        <v>6545257.3108159266</v>
      </c>
      <c r="L77" s="45">
        <f>IFERROR(IFERROR(INDEX('2023 IP UPL Data'!N:N,MATCH(A:A,'2023 IP UPL Data'!B:B,0)),INDEX('2023 IMD UPL Data'!M:M,MATCH(A:A,'2023 IMD UPL Data'!B:B,0))),0)</f>
        <v>4610179.5787500013</v>
      </c>
      <c r="M77" s="45">
        <f>IFERROR((IF(F77="IMD",0,INDEX('2023 OP UPL Data'!M:M,MATCH(A:A,'2023 OP UPL Data'!B:B,0)))),0)</f>
        <v>2797420.7062499998</v>
      </c>
      <c r="N77" s="45">
        <f t="shared" si="36"/>
        <v>7407600.2850000011</v>
      </c>
      <c r="O77" s="45">
        <v>19849640.365572557</v>
      </c>
      <c r="P77" s="45">
        <v>6159246.6690397635</v>
      </c>
      <c r="Q77" s="45">
        <f t="shared" si="37"/>
        <v>26008887.03461232</v>
      </c>
      <c r="R77" s="45" t="str">
        <f t="shared" si="38"/>
        <v>Yes</v>
      </c>
      <c r="S77" s="46" t="str">
        <f t="shared" si="38"/>
        <v>Yes</v>
      </c>
      <c r="T77" s="47">
        <f>ROUND(INDEX(Summary!H:H,MATCH(H:H,Summary!A:A,0)),2)</f>
        <v>1.68</v>
      </c>
      <c r="U77" s="47">
        <f>ROUND(INDEX(Summary!I:I,MATCH(H:H,Summary!A:A,0)),2)</f>
        <v>1.42</v>
      </c>
      <c r="V77" s="85">
        <f t="shared" si="39"/>
        <v>8188373.1478001382</v>
      </c>
      <c r="W77" s="85">
        <f t="shared" si="39"/>
        <v>2373140.4588132598</v>
      </c>
      <c r="X77" s="45">
        <f t="shared" si="40"/>
        <v>10561513.606613398</v>
      </c>
      <c r="Y77" s="45" t="s">
        <v>3223</v>
      </c>
      <c r="Z77" s="45" t="str">
        <f t="shared" si="41"/>
        <v>Yes</v>
      </c>
      <c r="AA77" s="45" t="str">
        <f t="shared" si="41"/>
        <v>Yes</v>
      </c>
      <c r="AB77" s="45" t="str">
        <f t="shared" si="42"/>
        <v>Yes</v>
      </c>
      <c r="AC77" s="86">
        <f t="shared" si="55"/>
        <v>1.67</v>
      </c>
      <c r="AD77" s="86">
        <f t="shared" si="56"/>
        <v>1.58</v>
      </c>
      <c r="AE77" s="45">
        <f t="shared" si="57"/>
        <v>8139632.8314441852</v>
      </c>
      <c r="AF77" s="45">
        <f t="shared" si="57"/>
        <v>2640536.566848557</v>
      </c>
      <c r="AG77" s="45">
        <f t="shared" si="43"/>
        <v>10780169.398292743</v>
      </c>
      <c r="AH77" s="47">
        <f>IF(Y77="No",0,IFERROR(ROUNDDOWN(INDEX('90% of ACR'!K:K,MATCH(H:H,'90% of ACR'!A:A,0))*IF(I77&gt;0,IF(O77&gt;0,$R$4*MAX(O77-V77,0),0),0)/I77,2),0))</f>
        <v>1.66</v>
      </c>
      <c r="AI77" s="86">
        <f>IF(Y77="No",0,IFERROR(ROUNDDOWN(INDEX('90% of ACR'!R:R,MATCH(H:H,'90% of ACR'!A:A,0))*IF(J77&gt;0,IF(P77&gt;0,$R$4*MAX(P77-W77,0),0),0)/J77,2),0))</f>
        <v>1.28</v>
      </c>
      <c r="AJ77" s="45">
        <f t="shared" si="44"/>
        <v>8090892.5150882322</v>
      </c>
      <c r="AK77" s="45">
        <f t="shared" si="44"/>
        <v>2139168.8642823752</v>
      </c>
      <c r="AL77" s="47">
        <f t="shared" si="45"/>
        <v>3.34</v>
      </c>
      <c r="AM77" s="47">
        <f t="shared" si="45"/>
        <v>2.7</v>
      </c>
      <c r="AN77" s="87">
        <f>IFERROR(INDEX(FeeCalc!P:P,MATCH(C77,FeeCalc!F:F,0)),0)</f>
        <v>20791574.985984005</v>
      </c>
      <c r="AO77" s="87">
        <f>IFERROR(INDEX(FeeCalc!S:S,MATCH(C77,FeeCalc!F:F,0)),0)</f>
        <v>1278054.5955934341</v>
      </c>
      <c r="AP77" s="87">
        <f t="shared" si="46"/>
        <v>22069629.581577439</v>
      </c>
      <c r="AQ77" s="72">
        <f t="shared" si="47"/>
        <v>9364850.0596099198</v>
      </c>
      <c r="AR77" s="72">
        <f t="shared" si="48"/>
        <v>4682425.0298049599</v>
      </c>
      <c r="AS77" s="72">
        <f t="shared" si="49"/>
        <v>4682425.0298049599</v>
      </c>
      <c r="AT77" s="72">
        <f>IFERROR(IFERROR(INDEX('2023 IP UPL Data'!L:L,MATCH(A:A,'2023 IP UPL Data'!B:B,0)),INDEX('2023 IMD UPL Data'!I:I,MATCH(A:A,'2023 IMD UPL Data'!B:B,0))),0)</f>
        <v>4550960.2812499981</v>
      </c>
      <c r="AU77" s="72">
        <f>IFERROR(IF(F75="IMD",0,INDEX('2023 OP UPL Data'!J:J,MATCH(A:A,'2023 OP UPL Data'!B:B,0))),0)</f>
        <v>1092633.1937500001</v>
      </c>
      <c r="AV77" s="45">
        <f t="shared" si="50"/>
        <v>5643593.4749999978</v>
      </c>
      <c r="AW77" s="72">
        <f>IFERROR(IFERROR(INDEX('2023 IP UPL Data'!M:M,MATCH(A:A,'2023 IP UPL Data'!B:B,0)),INDEX('2023 IMD UPL Data'!K:K,MATCH(A:A,'2023 IMD UPL Data'!B:B,0))),0)</f>
        <v>9161139.8599999994</v>
      </c>
      <c r="AX77" s="72">
        <f>IFERROR(IF(F75="IMD",0,INDEX('2023 OP UPL Data'!L:L,MATCH(A:A,'2023 OP UPL Data'!B:B,0))),0)</f>
        <v>3890053.9</v>
      </c>
      <c r="AY77" s="45">
        <f t="shared" si="51"/>
        <v>13051193.76</v>
      </c>
      <c r="AZ77" s="72">
        <v>24400600.646822553</v>
      </c>
      <c r="BA77" s="72">
        <v>7251879.8627897631</v>
      </c>
      <c r="BB77" s="72">
        <f t="shared" si="52"/>
        <v>16212227.499022415</v>
      </c>
      <c r="BC77" s="72">
        <f t="shared" si="52"/>
        <v>4878739.4039765038</v>
      </c>
      <c r="BD77" s="72">
        <f t="shared" si="53"/>
        <v>21090966.902998917</v>
      </c>
      <c r="BE77" s="94">
        <f t="shared" si="54"/>
        <v>15239460.786822554</v>
      </c>
      <c r="BF77" s="94">
        <f t="shared" si="54"/>
        <v>3361825.9627897632</v>
      </c>
      <c r="BG77" s="73">
        <f>IFERROR(INDEX('2023 IP UPL Data'!K:K,MATCH(A77,'2023 IP UPL Data'!B:B,0)),0)</f>
        <v>0</v>
      </c>
    </row>
    <row r="78" spans="1:59">
      <c r="A78" s="124" t="s">
        <v>1098</v>
      </c>
      <c r="B78" s="149" t="s">
        <v>1098</v>
      </c>
      <c r="C78" s="31" t="s">
        <v>1099</v>
      </c>
      <c r="D78" s="181" t="s">
        <v>1099</v>
      </c>
      <c r="E78" s="144" t="s">
        <v>3455</v>
      </c>
      <c r="F78" s="120" t="s">
        <v>2718</v>
      </c>
      <c r="G78" s="120" t="s">
        <v>1366</v>
      </c>
      <c r="H78" s="43" t="str">
        <f t="shared" si="34"/>
        <v>Urban Tarrant</v>
      </c>
      <c r="I78" s="45">
        <f>INDEX(FeeCalc!M:M,MATCH(C:C,FeeCalc!F:F,0))</f>
        <v>976184.39965032134</v>
      </c>
      <c r="J78" s="45">
        <f>INDEX(FeeCalc!L:L,MATCH(C:C,FeeCalc!F:F,0))</f>
        <v>894842.66003190936</v>
      </c>
      <c r="K78" s="45">
        <f t="shared" si="35"/>
        <v>1871027.0596822307</v>
      </c>
      <c r="L78" s="45">
        <f>IFERROR(IFERROR(INDEX('2023 IP UPL Data'!N:N,MATCH(A:A,'2023 IP UPL Data'!B:B,0)),INDEX('2023 IMD UPL Data'!M:M,MATCH(A:A,'2023 IMD UPL Data'!B:B,0))),0)</f>
        <v>2137423.2312500002</v>
      </c>
      <c r="M78" s="45">
        <f>IFERROR((IF(F78="IMD",0,INDEX('2023 OP UPL Data'!M:M,MATCH(A:A,'2023 OP UPL Data'!B:B,0)))),0)</f>
        <v>1588972.95875</v>
      </c>
      <c r="N78" s="45">
        <f t="shared" si="36"/>
        <v>3726396.1900000004</v>
      </c>
      <c r="O78" s="45">
        <v>5727463.700044632</v>
      </c>
      <c r="P78" s="45">
        <v>5077492.9496209426</v>
      </c>
      <c r="Q78" s="45">
        <f t="shared" si="37"/>
        <v>10804956.649665575</v>
      </c>
      <c r="R78" s="45" t="str">
        <f t="shared" si="38"/>
        <v>Yes</v>
      </c>
      <c r="S78" s="46" t="str">
        <f t="shared" si="38"/>
        <v>Yes</v>
      </c>
      <c r="T78" s="47">
        <f>ROUND(INDEX(Summary!H:H,MATCH(H:H,Summary!A:A,0)),2)</f>
        <v>1.68</v>
      </c>
      <c r="U78" s="47">
        <f>ROUND(INDEX(Summary!I:I,MATCH(H:H,Summary!A:A,0)),2)</f>
        <v>1.42</v>
      </c>
      <c r="V78" s="85">
        <f t="shared" si="39"/>
        <v>1639989.7914125398</v>
      </c>
      <c r="W78" s="85">
        <f t="shared" si="39"/>
        <v>1270676.5772453111</v>
      </c>
      <c r="X78" s="45">
        <f t="shared" si="40"/>
        <v>2910666.3686578507</v>
      </c>
      <c r="Y78" s="45" t="s">
        <v>3223</v>
      </c>
      <c r="Z78" s="45" t="str">
        <f t="shared" si="41"/>
        <v>Yes</v>
      </c>
      <c r="AA78" s="45" t="str">
        <f t="shared" si="41"/>
        <v>Yes</v>
      </c>
      <c r="AB78" s="45" t="str">
        <f t="shared" si="42"/>
        <v>Yes</v>
      </c>
      <c r="AC78" s="86">
        <f t="shared" si="55"/>
        <v>2.92</v>
      </c>
      <c r="AD78" s="86">
        <f t="shared" si="56"/>
        <v>2.96</v>
      </c>
      <c r="AE78" s="45">
        <f t="shared" si="57"/>
        <v>2850458.4469789383</v>
      </c>
      <c r="AF78" s="45">
        <f t="shared" si="57"/>
        <v>2648734.2736944514</v>
      </c>
      <c r="AG78" s="45">
        <f t="shared" si="43"/>
        <v>5499192.7206733897</v>
      </c>
      <c r="AH78" s="47">
        <f>IF(Y78="No",0,IFERROR(ROUNDDOWN(INDEX('90% of ACR'!K:K,MATCH(H:H,'90% of ACR'!A:A,0))*IF(I78&gt;0,IF(O78&gt;0,$R$4*MAX(O78-V78,0),0),0)/I78,2),0))</f>
        <v>2.91</v>
      </c>
      <c r="AI78" s="86">
        <f>IF(Y78="No",0,IFERROR(ROUNDDOWN(INDEX('90% of ACR'!R:R,MATCH(H:H,'90% of ACR'!A:A,0))*IF(J78&gt;0,IF(P78&gt;0,$R$4*MAX(P78-W78,0),0),0)/J78,2),0))</f>
        <v>2.41</v>
      </c>
      <c r="AJ78" s="45">
        <f t="shared" si="44"/>
        <v>2840696.6029824354</v>
      </c>
      <c r="AK78" s="45">
        <f t="shared" si="44"/>
        <v>2156570.8106769016</v>
      </c>
      <c r="AL78" s="47">
        <f t="shared" si="45"/>
        <v>4.59</v>
      </c>
      <c r="AM78" s="47">
        <f t="shared" si="45"/>
        <v>3.83</v>
      </c>
      <c r="AN78" s="87">
        <f>IFERROR(INDEX(FeeCalc!P:P,MATCH(C78,FeeCalc!F:F,0)),0)</f>
        <v>7907933.7823171876</v>
      </c>
      <c r="AO78" s="87">
        <f>IFERROR(INDEX(FeeCalc!S:S,MATCH(C78,FeeCalc!F:F,0)),0)</f>
        <v>490765.62357309076</v>
      </c>
      <c r="AP78" s="87">
        <f t="shared" si="46"/>
        <v>8398699.4058902785</v>
      </c>
      <c r="AQ78" s="72">
        <f t="shared" si="47"/>
        <v>3563836.9163002339</v>
      </c>
      <c r="AR78" s="72">
        <f t="shared" si="48"/>
        <v>1781918.458150117</v>
      </c>
      <c r="AS78" s="72">
        <f t="shared" si="49"/>
        <v>1781918.458150117</v>
      </c>
      <c r="AT78" s="72">
        <f>IFERROR(IFERROR(INDEX('2023 IP UPL Data'!L:L,MATCH(A:A,'2023 IP UPL Data'!B:B,0)),INDEX('2023 IMD UPL Data'!I:I,MATCH(A:A,'2023 IMD UPL Data'!B:B,0))),0)</f>
        <v>1279625.3687499999</v>
      </c>
      <c r="AU78" s="72">
        <f>IFERROR(IF(F76="IMD",0,INDEX('2023 OP UPL Data'!J:J,MATCH(A:A,'2023 OP UPL Data'!B:B,0))),0)</f>
        <v>764336.73124999995</v>
      </c>
      <c r="AV78" s="45">
        <f t="shared" si="50"/>
        <v>2043962.0999999999</v>
      </c>
      <c r="AW78" s="72">
        <f>IFERROR(IFERROR(INDEX('2023 IP UPL Data'!M:M,MATCH(A:A,'2023 IP UPL Data'!B:B,0)),INDEX('2023 IMD UPL Data'!K:K,MATCH(A:A,'2023 IMD UPL Data'!B:B,0))),0)</f>
        <v>3417048.6</v>
      </c>
      <c r="AX78" s="72">
        <f>IFERROR(IF(F76="IMD",0,INDEX('2023 OP UPL Data'!L:L,MATCH(A:A,'2023 OP UPL Data'!B:B,0))),0)</f>
        <v>2353309.69</v>
      </c>
      <c r="AY78" s="45">
        <f t="shared" si="51"/>
        <v>5770358.29</v>
      </c>
      <c r="AZ78" s="72">
        <v>7007089.0687946314</v>
      </c>
      <c r="BA78" s="72">
        <v>5841829.6808709428</v>
      </c>
      <c r="BB78" s="72">
        <f t="shared" si="52"/>
        <v>5367099.2773820916</v>
      </c>
      <c r="BC78" s="72">
        <f t="shared" si="52"/>
        <v>4571153.1036256319</v>
      </c>
      <c r="BD78" s="72">
        <f t="shared" si="53"/>
        <v>9938252.3810077235</v>
      </c>
      <c r="BE78" s="94">
        <f t="shared" si="54"/>
        <v>3590040.4687946313</v>
      </c>
      <c r="BF78" s="94">
        <f t="shared" si="54"/>
        <v>3488519.9908709428</v>
      </c>
      <c r="BG78" s="73">
        <f>IFERROR(INDEX('2023 IP UPL Data'!K:K,MATCH(A78,'2023 IP UPL Data'!B:B,0)),0)</f>
        <v>0</v>
      </c>
    </row>
    <row r="79" spans="1:59">
      <c r="A79" s="149" t="s">
        <v>3622</v>
      </c>
      <c r="B79" s="149" t="s">
        <v>3622</v>
      </c>
      <c r="C79" s="31" t="s">
        <v>3392</v>
      </c>
      <c r="D79" s="181" t="s">
        <v>3392</v>
      </c>
      <c r="E79" s="144" t="s">
        <v>3356</v>
      </c>
      <c r="F79" s="120" t="s">
        <v>2718</v>
      </c>
      <c r="G79" s="120" t="s">
        <v>1489</v>
      </c>
      <c r="H79" s="43" t="str">
        <f t="shared" si="34"/>
        <v>Urban MRSA Central</v>
      </c>
      <c r="I79" s="45">
        <f>INDEX(FeeCalc!M:M,MATCH(C:C,FeeCalc!F:F,0))</f>
        <v>0</v>
      </c>
      <c r="J79" s="45">
        <f>INDEX(FeeCalc!L:L,MATCH(C:C,FeeCalc!F:F,0))</f>
        <v>0</v>
      </c>
      <c r="K79" s="45">
        <f t="shared" si="35"/>
        <v>0</v>
      </c>
      <c r="L79" s="45">
        <f>IFERROR(IFERROR(INDEX('2023 IP UPL Data'!N:N,MATCH(A:A,'2023 IP UPL Data'!B:B,0)),INDEX('2023 IMD UPL Data'!M:M,MATCH(A:A,'2023 IMD UPL Data'!B:B,0))),0)</f>
        <v>0</v>
      </c>
      <c r="M79" s="45">
        <f>IFERROR((IF(F79="IMD",0,INDEX('2023 OP UPL Data'!M:M,MATCH(A:A,'2023 OP UPL Data'!B:B,0)))),0)</f>
        <v>0</v>
      </c>
      <c r="N79" s="45">
        <f t="shared" si="36"/>
        <v>0</v>
      </c>
      <c r="O79" s="45">
        <v>0</v>
      </c>
      <c r="P79" s="45">
        <v>0</v>
      </c>
      <c r="Q79" s="45">
        <f t="shared" si="37"/>
        <v>0</v>
      </c>
      <c r="R79" s="45" t="str">
        <f t="shared" si="38"/>
        <v>No</v>
      </c>
      <c r="S79" s="46" t="str">
        <f t="shared" si="38"/>
        <v>No</v>
      </c>
      <c r="T79" s="47">
        <f>ROUND(INDEX(Summary!H:H,MATCH(H:H,Summary!A:A,0)),2)</f>
        <v>0.78</v>
      </c>
      <c r="U79" s="47">
        <f>ROUND(INDEX(Summary!I:I,MATCH(H:H,Summary!A:A,0)),2)</f>
        <v>1.29</v>
      </c>
      <c r="V79" s="85">
        <f t="shared" si="39"/>
        <v>0</v>
      </c>
      <c r="W79" s="85">
        <f t="shared" si="39"/>
        <v>0</v>
      </c>
      <c r="X79" s="45">
        <f t="shared" si="40"/>
        <v>0</v>
      </c>
      <c r="Y79" s="45" t="s">
        <v>3223</v>
      </c>
      <c r="Z79" s="45" t="str">
        <f t="shared" si="41"/>
        <v>No</v>
      </c>
      <c r="AA79" s="45" t="str">
        <f t="shared" si="41"/>
        <v>No</v>
      </c>
      <c r="AB79" s="45" t="str">
        <f t="shared" si="42"/>
        <v>No</v>
      </c>
      <c r="AC79" s="86">
        <f t="shared" si="55"/>
        <v>0</v>
      </c>
      <c r="AD79" s="86">
        <f t="shared" si="56"/>
        <v>0</v>
      </c>
      <c r="AE79" s="45">
        <f t="shared" si="57"/>
        <v>0</v>
      </c>
      <c r="AF79" s="45">
        <f t="shared" si="57"/>
        <v>0</v>
      </c>
      <c r="AG79" s="45">
        <f t="shared" si="43"/>
        <v>0</v>
      </c>
      <c r="AH79" s="47">
        <f>IF(Y79="No",0,IFERROR(ROUNDDOWN(INDEX('90% of ACR'!K:K,MATCH(H:H,'90% of ACR'!A:A,0))*IF(I79&gt;0,IF(O79&gt;0,$R$4*MAX(O79-V79,0),0),0)/I79,2),0))</f>
        <v>0</v>
      </c>
      <c r="AI79" s="86">
        <f>IF(Y79="No",0,IFERROR(ROUNDDOWN(INDEX('90% of ACR'!R:R,MATCH(H:H,'90% of ACR'!A:A,0))*IF(J79&gt;0,IF(P79&gt;0,$R$4*MAX(P79-W79,0),0),0)/J79,2),0))</f>
        <v>0</v>
      </c>
      <c r="AJ79" s="45">
        <f t="shared" si="44"/>
        <v>0</v>
      </c>
      <c r="AK79" s="45">
        <f t="shared" si="44"/>
        <v>0</v>
      </c>
      <c r="AL79" s="47">
        <f t="shared" si="45"/>
        <v>0.78</v>
      </c>
      <c r="AM79" s="47">
        <f t="shared" si="45"/>
        <v>1.29</v>
      </c>
      <c r="AN79" s="87">
        <f>IFERROR(INDEX(FeeCalc!P:P,MATCH(C79,FeeCalc!F:F,0)),0)</f>
        <v>0</v>
      </c>
      <c r="AO79" s="87">
        <f>IFERROR(INDEX(FeeCalc!S:S,MATCH(C79,FeeCalc!F:F,0)),0)</f>
        <v>0</v>
      </c>
      <c r="AP79" s="87">
        <f t="shared" si="46"/>
        <v>0</v>
      </c>
      <c r="AQ79" s="72">
        <f t="shared" si="47"/>
        <v>0</v>
      </c>
      <c r="AR79" s="72">
        <f t="shared" si="48"/>
        <v>0</v>
      </c>
      <c r="AS79" s="72">
        <f t="shared" si="49"/>
        <v>0</v>
      </c>
      <c r="AT79" s="72">
        <f>IFERROR(IFERROR(INDEX('2023 IP UPL Data'!L:L,MATCH(A:A,'2023 IP UPL Data'!B:B,0)),INDEX('2023 IMD UPL Data'!I:I,MATCH(A:A,'2023 IMD UPL Data'!B:B,0))),0)</f>
        <v>0</v>
      </c>
      <c r="AU79" s="72">
        <f>IFERROR(IF(F77="IMD",0,INDEX('2023 OP UPL Data'!J:J,MATCH(A:A,'2023 OP UPL Data'!B:B,0))),0)</f>
        <v>0</v>
      </c>
      <c r="AV79" s="45">
        <f t="shared" si="50"/>
        <v>0</v>
      </c>
      <c r="AW79" s="72">
        <f>IFERROR(IFERROR(INDEX('2023 IP UPL Data'!M:M,MATCH(A:A,'2023 IP UPL Data'!B:B,0)),INDEX('2023 IMD UPL Data'!K:K,MATCH(A:A,'2023 IMD UPL Data'!B:B,0))),0)</f>
        <v>0</v>
      </c>
      <c r="AX79" s="72">
        <f>IFERROR(IF(F77="IMD",0,INDEX('2023 OP UPL Data'!L:L,MATCH(A:A,'2023 OP UPL Data'!B:B,0))),0)</f>
        <v>0</v>
      </c>
      <c r="AY79" s="45">
        <f t="shared" si="51"/>
        <v>0</v>
      </c>
      <c r="AZ79" s="72">
        <v>0</v>
      </c>
      <c r="BA79" s="72">
        <v>0</v>
      </c>
      <c r="BB79" s="72">
        <f t="shared" si="52"/>
        <v>0</v>
      </c>
      <c r="BC79" s="72">
        <f t="shared" si="52"/>
        <v>0</v>
      </c>
      <c r="BD79" s="72">
        <f t="shared" si="53"/>
        <v>0</v>
      </c>
      <c r="BE79" s="94">
        <f t="shared" si="54"/>
        <v>0</v>
      </c>
      <c r="BF79" s="94">
        <f t="shared" si="54"/>
        <v>0</v>
      </c>
      <c r="BG79" s="73">
        <f>IFERROR(INDEX('2023 IP UPL Data'!K:K,MATCH(A79,'2023 IP UPL Data'!B:B,0)),0)</f>
        <v>0</v>
      </c>
    </row>
    <row r="80" spans="1:59">
      <c r="A80" s="124" t="s">
        <v>515</v>
      </c>
      <c r="B80" s="149" t="s">
        <v>515</v>
      </c>
      <c r="C80" s="31" t="s">
        <v>516</v>
      </c>
      <c r="D80" s="181" t="s">
        <v>516</v>
      </c>
      <c r="E80" s="144" t="s">
        <v>3456</v>
      </c>
      <c r="F80" s="120" t="s">
        <v>2768</v>
      </c>
      <c r="G80" s="120" t="s">
        <v>1517</v>
      </c>
      <c r="H80" s="43" t="str">
        <f t="shared" si="34"/>
        <v>Rural Hidalgo</v>
      </c>
      <c r="I80" s="45">
        <f>INDEX(FeeCalc!M:M,MATCH(C:C,FeeCalc!F:F,0))</f>
        <v>4399638.0628073979</v>
      </c>
      <c r="J80" s="45">
        <f>INDEX(FeeCalc!L:L,MATCH(C:C,FeeCalc!F:F,0))</f>
        <v>3775544.4071098058</v>
      </c>
      <c r="K80" s="45">
        <f t="shared" si="35"/>
        <v>8175182.4699172042</v>
      </c>
      <c r="L80" s="45">
        <f>IFERROR(IFERROR(INDEX('2023 IP UPL Data'!N:N,MATCH(A:A,'2023 IP UPL Data'!B:B,0)),INDEX('2023 IMD UPL Data'!M:M,MATCH(A:A,'2023 IMD UPL Data'!B:B,0))),0)</f>
        <v>-1295671.4793076697</v>
      </c>
      <c r="M80" s="45">
        <f>IFERROR((IF(F80="IMD",0,INDEX('2023 OP UPL Data'!M:M,MATCH(A:A,'2023 OP UPL Data'!B:B,0)))),0)</f>
        <v>477450.99560975609</v>
      </c>
      <c r="N80" s="45">
        <f t="shared" si="36"/>
        <v>-818220.48369791359</v>
      </c>
      <c r="O80" s="45">
        <v>943640.99633965734</v>
      </c>
      <c r="P80" s="45">
        <v>4003016.7709827241</v>
      </c>
      <c r="Q80" s="45">
        <f t="shared" si="37"/>
        <v>4946657.767322382</v>
      </c>
      <c r="R80" s="45" t="str">
        <f t="shared" si="38"/>
        <v>Yes</v>
      </c>
      <c r="S80" s="46" t="str">
        <f t="shared" si="38"/>
        <v>Yes</v>
      </c>
      <c r="T80" s="47">
        <f>ROUND(INDEX(Summary!H:H,MATCH(H:H,Summary!A:A,0)),2)</f>
        <v>0</v>
      </c>
      <c r="U80" s="47">
        <f>ROUND(INDEX(Summary!I:I,MATCH(H:H,Summary!A:A,0)),2)</f>
        <v>7.0000000000000007E-2</v>
      </c>
      <c r="V80" s="85">
        <f t="shared" si="39"/>
        <v>0</v>
      </c>
      <c r="W80" s="85">
        <f t="shared" si="39"/>
        <v>264288.10849768645</v>
      </c>
      <c r="X80" s="45">
        <f t="shared" si="40"/>
        <v>264288.10849768645</v>
      </c>
      <c r="Y80" s="45" t="s">
        <v>3223</v>
      </c>
      <c r="Z80" s="45" t="str">
        <f t="shared" si="41"/>
        <v>No</v>
      </c>
      <c r="AA80" s="45" t="str">
        <f t="shared" si="41"/>
        <v>Yes</v>
      </c>
      <c r="AB80" s="45" t="str">
        <f t="shared" si="42"/>
        <v>Yes</v>
      </c>
      <c r="AC80" s="86">
        <f t="shared" si="55"/>
        <v>0.15</v>
      </c>
      <c r="AD80" s="86">
        <f t="shared" si="56"/>
        <v>0.69</v>
      </c>
      <c r="AE80" s="45">
        <f t="shared" si="57"/>
        <v>659945.70942110964</v>
      </c>
      <c r="AF80" s="45">
        <f t="shared" si="57"/>
        <v>2605125.6409057658</v>
      </c>
      <c r="AG80" s="45">
        <f t="shared" si="43"/>
        <v>3265071.3503268752</v>
      </c>
      <c r="AH80" s="47">
        <f>IF(Y80="No",0,IFERROR(ROUNDDOWN(INDEX('90% of ACR'!K:K,MATCH(H:H,'90% of ACR'!A:A,0))*IF(I80&gt;0,IF(O80&gt;0,$R$4*MAX(O80-V80,0),0),0)/I80,2),0))</f>
        <v>0</v>
      </c>
      <c r="AI80" s="86">
        <f>IF(Y80="No",0,IFERROR(ROUNDDOWN(INDEX('90% of ACR'!R:R,MATCH(H:H,'90% of ACR'!A:A,0))*IF(J80&gt;0,IF(P80&gt;0,$R$4*MAX(P80-W80,0),0),0)/J80,2),0))</f>
        <v>0.68</v>
      </c>
      <c r="AJ80" s="45">
        <f t="shared" si="44"/>
        <v>0</v>
      </c>
      <c r="AK80" s="45">
        <f t="shared" si="44"/>
        <v>2567370.1968346681</v>
      </c>
      <c r="AL80" s="47">
        <f t="shared" si="45"/>
        <v>0</v>
      </c>
      <c r="AM80" s="47">
        <f t="shared" si="45"/>
        <v>0.75</v>
      </c>
      <c r="AN80" s="87">
        <f>IFERROR(INDEX(FeeCalc!P:P,MATCH(C80,FeeCalc!F:F,0)),0)</f>
        <v>2831658.3053323543</v>
      </c>
      <c r="AO80" s="87">
        <f>IFERROR(INDEX(FeeCalc!S:S,MATCH(C80,FeeCalc!F:F,0)),0)</f>
        <v>174246.97493793193</v>
      </c>
      <c r="AP80" s="87">
        <f t="shared" si="46"/>
        <v>3005905.2802702864</v>
      </c>
      <c r="AQ80" s="72">
        <f t="shared" si="47"/>
        <v>1275501.7993876513</v>
      </c>
      <c r="AR80" s="72">
        <f t="shared" si="48"/>
        <v>637750.89969382563</v>
      </c>
      <c r="AS80" s="72">
        <f t="shared" si="49"/>
        <v>637750.89969382563</v>
      </c>
      <c r="AT80" s="72">
        <f>IFERROR(IFERROR(INDEX('2023 IP UPL Data'!L:L,MATCH(A:A,'2023 IP UPL Data'!B:B,0)),INDEX('2023 IMD UPL Data'!I:I,MATCH(A:A,'2023 IMD UPL Data'!B:B,0))),0)</f>
        <v>5125896.7493076697</v>
      </c>
      <c r="AU80" s="72">
        <f>IFERROR(IF(F78="IMD",0,INDEX('2023 OP UPL Data'!J:J,MATCH(A:A,'2023 OP UPL Data'!B:B,0))),0)</f>
        <v>1819460.1343902438</v>
      </c>
      <c r="AV80" s="45">
        <f t="shared" si="50"/>
        <v>6945356.883697914</v>
      </c>
      <c r="AW80" s="72">
        <f>IFERROR(IFERROR(INDEX('2023 IP UPL Data'!M:M,MATCH(A:A,'2023 IP UPL Data'!B:B,0)),INDEX('2023 IMD UPL Data'!K:K,MATCH(A:A,'2023 IMD UPL Data'!B:B,0))),0)</f>
        <v>3830225.27</v>
      </c>
      <c r="AX80" s="72">
        <f>IFERROR(IF(F78="IMD",0,INDEX('2023 OP UPL Data'!L:L,MATCH(A:A,'2023 OP UPL Data'!B:B,0))),0)</f>
        <v>2296911.13</v>
      </c>
      <c r="AY80" s="45">
        <f t="shared" si="51"/>
        <v>6127136.4000000004</v>
      </c>
      <c r="AZ80" s="72">
        <v>6069537.745647327</v>
      </c>
      <c r="BA80" s="72">
        <v>5822476.9053729679</v>
      </c>
      <c r="BB80" s="72">
        <f t="shared" si="52"/>
        <v>6069537.745647327</v>
      </c>
      <c r="BC80" s="72">
        <f t="shared" si="52"/>
        <v>5558188.7968752813</v>
      </c>
      <c r="BD80" s="72">
        <f t="shared" si="53"/>
        <v>11627726.542522609</v>
      </c>
      <c r="BE80" s="94">
        <f t="shared" si="54"/>
        <v>2239312.475647327</v>
      </c>
      <c r="BF80" s="94">
        <f t="shared" si="54"/>
        <v>3525565.7753729681</v>
      </c>
      <c r="BG80" s="73">
        <f>IFERROR(INDEX('2023 IP UPL Data'!K:K,MATCH(A80,'2023 IP UPL Data'!B:B,0)),0)</f>
        <v>0</v>
      </c>
    </row>
    <row r="81" spans="1:59">
      <c r="A81" s="124" t="s">
        <v>792</v>
      </c>
      <c r="B81" s="149" t="s">
        <v>792</v>
      </c>
      <c r="C81" s="31" t="s">
        <v>793</v>
      </c>
      <c r="D81" s="181" t="s">
        <v>793</v>
      </c>
      <c r="E81" s="144" t="s">
        <v>3457</v>
      </c>
      <c r="F81" s="120" t="s">
        <v>2718</v>
      </c>
      <c r="G81" s="120" t="s">
        <v>1517</v>
      </c>
      <c r="H81" s="43" t="str">
        <f t="shared" si="34"/>
        <v>Urban Hidalgo</v>
      </c>
      <c r="I81" s="45">
        <f>INDEX(FeeCalc!M:M,MATCH(C:C,FeeCalc!F:F,0))</f>
        <v>4012669.9222273915</v>
      </c>
      <c r="J81" s="45">
        <f>INDEX(FeeCalc!L:L,MATCH(C:C,FeeCalc!F:F,0))</f>
        <v>7493957.2093093246</v>
      </c>
      <c r="K81" s="45">
        <f t="shared" si="35"/>
        <v>11506627.131536717</v>
      </c>
      <c r="L81" s="45">
        <f>IFERROR(IFERROR(INDEX('2023 IP UPL Data'!N:N,MATCH(A:A,'2023 IP UPL Data'!B:B,0)),INDEX('2023 IMD UPL Data'!M:M,MATCH(A:A,'2023 IMD UPL Data'!B:B,0))),0)</f>
        <v>4651890.8433136092</v>
      </c>
      <c r="M81" s="45">
        <f>IFERROR((IF(F81="IMD",0,INDEX('2023 OP UPL Data'!M:M,MATCH(A:A,'2023 OP UPL Data'!B:B,0)))),0)</f>
        <v>7621252.1871005921</v>
      </c>
      <c r="N81" s="45">
        <f t="shared" si="36"/>
        <v>12273143.030414201</v>
      </c>
      <c r="O81" s="45">
        <v>11044710.269822061</v>
      </c>
      <c r="P81" s="45">
        <v>11585223.464565258</v>
      </c>
      <c r="Q81" s="45">
        <f t="shared" si="37"/>
        <v>22629933.73438732</v>
      </c>
      <c r="R81" s="45" t="str">
        <f t="shared" si="38"/>
        <v>Yes</v>
      </c>
      <c r="S81" s="46" t="str">
        <f t="shared" si="38"/>
        <v>Yes</v>
      </c>
      <c r="T81" s="47">
        <f>ROUND(INDEX(Summary!H:H,MATCH(H:H,Summary!A:A,0)),2)</f>
        <v>1.21</v>
      </c>
      <c r="U81" s="47">
        <f>ROUND(INDEX(Summary!I:I,MATCH(H:H,Summary!A:A,0)),2)</f>
        <v>0.94</v>
      </c>
      <c r="V81" s="85">
        <f t="shared" si="39"/>
        <v>4855330.6058951439</v>
      </c>
      <c r="W81" s="85">
        <f t="shared" si="39"/>
        <v>7044319.7767507648</v>
      </c>
      <c r="X81" s="45">
        <f t="shared" si="40"/>
        <v>11899650.382645909</v>
      </c>
      <c r="Y81" s="45" t="s">
        <v>3223</v>
      </c>
      <c r="Z81" s="45" t="str">
        <f t="shared" si="41"/>
        <v>Yes</v>
      </c>
      <c r="AA81" s="45" t="str">
        <f t="shared" si="41"/>
        <v>Yes</v>
      </c>
      <c r="AB81" s="45" t="str">
        <f t="shared" si="42"/>
        <v>Yes</v>
      </c>
      <c r="AC81" s="86">
        <f t="shared" si="55"/>
        <v>1.07</v>
      </c>
      <c r="AD81" s="86">
        <f t="shared" si="56"/>
        <v>0.42</v>
      </c>
      <c r="AE81" s="45">
        <f t="shared" si="57"/>
        <v>4293556.816783309</v>
      </c>
      <c r="AF81" s="45">
        <f t="shared" si="57"/>
        <v>3147462.0279099164</v>
      </c>
      <c r="AG81" s="45">
        <f t="shared" si="43"/>
        <v>7441018.8446932249</v>
      </c>
      <c r="AH81" s="47">
        <f>IF(Y81="No",0,IFERROR(ROUNDDOWN(INDEX('90% of ACR'!K:K,MATCH(H:H,'90% of ACR'!A:A,0))*IF(I81&gt;0,IF(O81&gt;0,$R$4*MAX(O81-V81,0),0),0)/I81,2),0))</f>
        <v>1.04</v>
      </c>
      <c r="AI81" s="86">
        <f>IF(Y81="No",0,IFERROR(ROUNDDOWN(INDEX('90% of ACR'!R:R,MATCH(H:H,'90% of ACR'!A:A,0))*IF(J81&gt;0,IF(P81&gt;0,$R$4*MAX(P81-W81,0),0),0)/J81,2),0))</f>
        <v>0.3</v>
      </c>
      <c r="AJ81" s="45">
        <f t="shared" si="44"/>
        <v>4173176.7191164875</v>
      </c>
      <c r="AK81" s="45">
        <f t="shared" si="44"/>
        <v>2248187.1627927972</v>
      </c>
      <c r="AL81" s="47">
        <f t="shared" si="45"/>
        <v>2.25</v>
      </c>
      <c r="AM81" s="47">
        <f t="shared" si="45"/>
        <v>1.24</v>
      </c>
      <c r="AN81" s="87">
        <f>IFERROR(INDEX(FeeCalc!P:P,MATCH(C81,FeeCalc!F:F,0)),0)</f>
        <v>18321014.264555193</v>
      </c>
      <c r="AO81" s="87">
        <f>IFERROR(INDEX(FeeCalc!S:S,MATCH(C81,FeeCalc!F:F,0)),0)</f>
        <v>1126269.5849062172</v>
      </c>
      <c r="AP81" s="87">
        <f t="shared" si="46"/>
        <v>19447283.84946141</v>
      </c>
      <c r="AQ81" s="72">
        <f t="shared" si="47"/>
        <v>8252104.8504096596</v>
      </c>
      <c r="AR81" s="72">
        <f t="shared" si="48"/>
        <v>4126052.4252048298</v>
      </c>
      <c r="AS81" s="72">
        <f t="shared" si="49"/>
        <v>4126052.4252048298</v>
      </c>
      <c r="AT81" s="72">
        <f>IFERROR(IFERROR(INDEX('2023 IP UPL Data'!L:L,MATCH(A:A,'2023 IP UPL Data'!B:B,0)),INDEX('2023 IMD UPL Data'!I:I,MATCH(A:A,'2023 IMD UPL Data'!B:B,0))),0)</f>
        <v>6218314.2366863908</v>
      </c>
      <c r="AU81" s="72">
        <f>IFERROR(IF(F79="IMD",0,INDEX('2023 OP UPL Data'!J:J,MATCH(A:A,'2023 OP UPL Data'!B:B,0))),0)</f>
        <v>4995204.7928994084</v>
      </c>
      <c r="AV81" s="45">
        <f t="shared" si="50"/>
        <v>11213519.029585799</v>
      </c>
      <c r="AW81" s="72">
        <f>IFERROR(IFERROR(INDEX('2023 IP UPL Data'!M:M,MATCH(A:A,'2023 IP UPL Data'!B:B,0)),INDEX('2023 IMD UPL Data'!K:K,MATCH(A:A,'2023 IMD UPL Data'!B:B,0))),0)</f>
        <v>10870205.08</v>
      </c>
      <c r="AX81" s="72">
        <f>IFERROR(IF(F79="IMD",0,INDEX('2023 OP UPL Data'!L:L,MATCH(A:A,'2023 OP UPL Data'!B:B,0))),0)</f>
        <v>12616456.98</v>
      </c>
      <c r="AY81" s="45">
        <f t="shared" si="51"/>
        <v>23486662.060000002</v>
      </c>
      <c r="AZ81" s="72">
        <v>17263024.506508451</v>
      </c>
      <c r="BA81" s="72">
        <v>16580428.257464666</v>
      </c>
      <c r="BB81" s="72">
        <f t="shared" si="52"/>
        <v>12407693.900613308</v>
      </c>
      <c r="BC81" s="72">
        <f t="shared" si="52"/>
        <v>9536108.4807139002</v>
      </c>
      <c r="BD81" s="72">
        <f t="shared" si="53"/>
        <v>21943802.381327208</v>
      </c>
      <c r="BE81" s="94">
        <f t="shared" si="54"/>
        <v>6392819.4265084509</v>
      </c>
      <c r="BF81" s="94">
        <f t="shared" si="54"/>
        <v>3963971.2774646655</v>
      </c>
      <c r="BG81" s="73">
        <f>IFERROR(INDEX('2023 IP UPL Data'!K:K,MATCH(A81,'2023 IP UPL Data'!B:B,0)),0)</f>
        <v>0</v>
      </c>
    </row>
    <row r="82" spans="1:59">
      <c r="A82" s="124" t="s">
        <v>1568</v>
      </c>
      <c r="B82" s="149" t="s">
        <v>1568</v>
      </c>
      <c r="C82" s="31" t="s">
        <v>1808</v>
      </c>
      <c r="D82" s="181" t="s">
        <v>1808</v>
      </c>
      <c r="E82" s="144" t="s">
        <v>3458</v>
      </c>
      <c r="F82" s="120" t="s">
        <v>2718</v>
      </c>
      <c r="G82" s="120" t="s">
        <v>1530</v>
      </c>
      <c r="H82" s="43" t="str">
        <f t="shared" si="34"/>
        <v>Urban Lubbock</v>
      </c>
      <c r="I82" s="45">
        <f>INDEX(FeeCalc!M:M,MATCH(C:C,FeeCalc!F:F,0))</f>
        <v>16337910.326701626</v>
      </c>
      <c r="J82" s="45">
        <f>INDEX(FeeCalc!L:L,MATCH(C:C,FeeCalc!F:F,0))</f>
        <v>12403454.231283981</v>
      </c>
      <c r="K82" s="45">
        <f t="shared" si="35"/>
        <v>28741364.557985608</v>
      </c>
      <c r="L82" s="45">
        <f>IFERROR(IFERROR(INDEX('2023 IP UPL Data'!N:N,MATCH(A:A,'2023 IP UPL Data'!B:B,0)),INDEX('2023 IMD UPL Data'!M:M,MATCH(A:A,'2023 IMD UPL Data'!B:B,0))),0)</f>
        <v>10801903.030000001</v>
      </c>
      <c r="M82" s="45">
        <f>IFERROR((IF(F82="IMD",0,INDEX('2023 OP UPL Data'!M:M,MATCH(A:A,'2023 OP UPL Data'!B:B,0)))),0)</f>
        <v>5696459.7125000022</v>
      </c>
      <c r="N82" s="45">
        <f t="shared" si="36"/>
        <v>16498362.742500003</v>
      </c>
      <c r="O82" s="45">
        <v>22120590.399924874</v>
      </c>
      <c r="P82" s="45">
        <v>9706782.625809256</v>
      </c>
      <c r="Q82" s="45">
        <f t="shared" si="37"/>
        <v>31827373.02573413</v>
      </c>
      <c r="R82" s="45" t="str">
        <f t="shared" si="38"/>
        <v>Yes</v>
      </c>
      <c r="S82" s="46" t="str">
        <f t="shared" si="38"/>
        <v>Yes</v>
      </c>
      <c r="T82" s="47">
        <f>ROUND(INDEX(Summary!H:H,MATCH(H:H,Summary!A:A,0)),2)</f>
        <v>0</v>
      </c>
      <c r="U82" s="47">
        <f>ROUND(INDEX(Summary!I:I,MATCH(H:H,Summary!A:A,0)),2)</f>
        <v>0.96</v>
      </c>
      <c r="V82" s="85">
        <f t="shared" si="39"/>
        <v>0</v>
      </c>
      <c r="W82" s="85">
        <f t="shared" si="39"/>
        <v>11907316.062032621</v>
      </c>
      <c r="X82" s="45">
        <f t="shared" si="40"/>
        <v>11907316.062032621</v>
      </c>
      <c r="Y82" s="45" t="s">
        <v>3223</v>
      </c>
      <c r="Z82" s="45" t="str">
        <f t="shared" si="41"/>
        <v>Yes</v>
      </c>
      <c r="AA82" s="45" t="str">
        <f t="shared" si="41"/>
        <v>No</v>
      </c>
      <c r="AB82" s="45" t="str">
        <f t="shared" si="42"/>
        <v>Yes</v>
      </c>
      <c r="AC82" s="86">
        <f t="shared" si="55"/>
        <v>0.94</v>
      </c>
      <c r="AD82" s="86">
        <f t="shared" si="56"/>
        <v>0</v>
      </c>
      <c r="AE82" s="45">
        <f t="shared" si="57"/>
        <v>15357635.707099527</v>
      </c>
      <c r="AF82" s="45">
        <f t="shared" si="57"/>
        <v>0</v>
      </c>
      <c r="AG82" s="45">
        <f t="shared" si="43"/>
        <v>15357635.707099527</v>
      </c>
      <c r="AH82" s="47">
        <f>IF(Y82="No",0,IFERROR(ROUNDDOWN(INDEX('90% of ACR'!K:K,MATCH(H:H,'90% of ACR'!A:A,0))*IF(I82&gt;0,IF(O82&gt;0,$R$4*MAX(O82-V82,0),0),0)/I82,2),0))</f>
        <v>0.21</v>
      </c>
      <c r="AI82" s="86">
        <f>IF(Y82="No",0,IFERROR(ROUNDDOWN(INDEX('90% of ACR'!R:R,MATCH(H:H,'90% of ACR'!A:A,0))*IF(J82&gt;0,IF(P82&gt;0,$R$4*MAX(P82-W82,0),0),0)/J82,2),0))</f>
        <v>0</v>
      </c>
      <c r="AJ82" s="45">
        <f t="shared" si="44"/>
        <v>3430961.1686073416</v>
      </c>
      <c r="AK82" s="45">
        <f t="shared" si="44"/>
        <v>0</v>
      </c>
      <c r="AL82" s="47">
        <f t="shared" si="45"/>
        <v>0.21</v>
      </c>
      <c r="AM82" s="47">
        <f t="shared" si="45"/>
        <v>0.96</v>
      </c>
      <c r="AN82" s="87">
        <f>IFERROR(INDEX(FeeCalc!P:P,MATCH(C82,FeeCalc!F:F,0)),0)</f>
        <v>15338277.230639962</v>
      </c>
      <c r="AO82" s="87">
        <f>IFERROR(INDEX(FeeCalc!S:S,MATCH(C82,FeeCalc!F:F,0)),0)</f>
        <v>941077.93351541262</v>
      </c>
      <c r="AP82" s="87">
        <f t="shared" si="46"/>
        <v>16279355.164155375</v>
      </c>
      <c r="AQ82" s="72">
        <f t="shared" si="47"/>
        <v>6907851.3355163801</v>
      </c>
      <c r="AR82" s="72">
        <f t="shared" si="48"/>
        <v>3453925.6677581901</v>
      </c>
      <c r="AS82" s="72">
        <f t="shared" si="49"/>
        <v>3453925.6677581901</v>
      </c>
      <c r="AT82" s="72">
        <f>IFERROR(IFERROR(INDEX('2023 IP UPL Data'!L:L,MATCH(A:A,'2023 IP UPL Data'!B:B,0)),INDEX('2023 IMD UPL Data'!I:I,MATCH(A:A,'2023 IMD UPL Data'!B:B,0))),0)</f>
        <v>14734900.899999999</v>
      </c>
      <c r="AU82" s="72">
        <f>IFERROR(IF(F80="IMD",0,INDEX('2023 OP UPL Data'!J:J,MATCH(A:A,'2023 OP UPL Data'!B:B,0))),0)</f>
        <v>7646088.7874999978</v>
      </c>
      <c r="AV82" s="45">
        <f t="shared" si="50"/>
        <v>22380989.687499996</v>
      </c>
      <c r="AW82" s="72">
        <f>IFERROR(IFERROR(INDEX('2023 IP UPL Data'!M:M,MATCH(A:A,'2023 IP UPL Data'!B:B,0)),INDEX('2023 IMD UPL Data'!K:K,MATCH(A:A,'2023 IMD UPL Data'!B:B,0))),0)</f>
        <v>25536803.93</v>
      </c>
      <c r="AX82" s="72">
        <f>IFERROR(IF(F80="IMD",0,INDEX('2023 OP UPL Data'!L:L,MATCH(A:A,'2023 OP UPL Data'!B:B,0))),0)</f>
        <v>13342548.5</v>
      </c>
      <c r="AY82" s="45">
        <f t="shared" si="51"/>
        <v>38879352.43</v>
      </c>
      <c r="AZ82" s="72">
        <v>36855491.299924873</v>
      </c>
      <c r="BA82" s="72">
        <v>17352871.413309254</v>
      </c>
      <c r="BB82" s="72">
        <f t="shared" si="52"/>
        <v>36855491.299924873</v>
      </c>
      <c r="BC82" s="72">
        <f t="shared" si="52"/>
        <v>5445555.3512766324</v>
      </c>
      <c r="BD82" s="72">
        <f t="shared" si="53"/>
        <v>42301046.651201501</v>
      </c>
      <c r="BE82" s="94">
        <f t="shared" si="54"/>
        <v>11318687.369924873</v>
      </c>
      <c r="BF82" s="94">
        <f t="shared" si="54"/>
        <v>4010322.9133092538</v>
      </c>
      <c r="BG82" s="73">
        <f>IFERROR(INDEX('2023 IP UPL Data'!K:K,MATCH(A82,'2023 IP UPL Data'!B:B,0)),0)</f>
        <v>0</v>
      </c>
    </row>
    <row r="83" spans="1:59">
      <c r="A83" s="124" t="s">
        <v>1556</v>
      </c>
      <c r="B83" s="149" t="s">
        <v>1556</v>
      </c>
      <c r="C83" s="31" t="s">
        <v>1709</v>
      </c>
      <c r="D83" s="181" t="s">
        <v>1709</v>
      </c>
      <c r="E83" s="144" t="s">
        <v>3459</v>
      </c>
      <c r="F83" s="120" t="s">
        <v>2718</v>
      </c>
      <c r="G83" s="120" t="s">
        <v>1517</v>
      </c>
      <c r="H83" s="43" t="str">
        <f t="shared" si="34"/>
        <v>Urban Hidalgo</v>
      </c>
      <c r="I83" s="45">
        <f>INDEX(FeeCalc!M:M,MATCH(C:C,FeeCalc!F:F,0))</f>
        <v>18555977.984780375</v>
      </c>
      <c r="J83" s="45">
        <f>INDEX(FeeCalc!L:L,MATCH(C:C,FeeCalc!F:F,0))</f>
        <v>20902967.715350028</v>
      </c>
      <c r="K83" s="45">
        <f t="shared" si="35"/>
        <v>39458945.700130403</v>
      </c>
      <c r="L83" s="45">
        <f>IFERROR(IFERROR(INDEX('2023 IP UPL Data'!N:N,MATCH(A:A,'2023 IP UPL Data'!B:B,0)),INDEX('2023 IMD UPL Data'!M:M,MATCH(A:A,'2023 IMD UPL Data'!B:B,0))),0)</f>
        <v>22937721.57792899</v>
      </c>
      <c r="M83" s="45">
        <f>IFERROR((IF(F83="IMD",0,INDEX('2023 OP UPL Data'!M:M,MATCH(A:A,'2023 OP UPL Data'!B:B,0)))),0)</f>
        <v>11097780.847159764</v>
      </c>
      <c r="N83" s="45">
        <f t="shared" si="36"/>
        <v>34035502.425088756</v>
      </c>
      <c r="O83" s="45">
        <v>42859517.813918658</v>
      </c>
      <c r="P83" s="45">
        <v>28845061.474984825</v>
      </c>
      <c r="Q83" s="45">
        <f t="shared" si="37"/>
        <v>71704579.288903475</v>
      </c>
      <c r="R83" s="45" t="str">
        <f t="shared" si="38"/>
        <v>Yes</v>
      </c>
      <c r="S83" s="46" t="str">
        <f t="shared" si="38"/>
        <v>Yes</v>
      </c>
      <c r="T83" s="47">
        <f>ROUND(INDEX(Summary!H:H,MATCH(H:H,Summary!A:A,0)),2)</f>
        <v>1.21</v>
      </c>
      <c r="U83" s="47">
        <f>ROUND(INDEX(Summary!I:I,MATCH(H:H,Summary!A:A,0)),2)</f>
        <v>0.94</v>
      </c>
      <c r="V83" s="85">
        <f t="shared" si="39"/>
        <v>22452733.361584254</v>
      </c>
      <c r="W83" s="85">
        <f t="shared" si="39"/>
        <v>19648789.652429026</v>
      </c>
      <c r="X83" s="45">
        <f t="shared" si="40"/>
        <v>42101523.014013276</v>
      </c>
      <c r="Y83" s="45" t="s">
        <v>3223</v>
      </c>
      <c r="Z83" s="45" t="str">
        <f t="shared" si="41"/>
        <v>Yes</v>
      </c>
      <c r="AA83" s="45" t="str">
        <f t="shared" si="41"/>
        <v>Yes</v>
      </c>
      <c r="AB83" s="45" t="str">
        <f t="shared" si="42"/>
        <v>Yes</v>
      </c>
      <c r="AC83" s="86">
        <f t="shared" si="55"/>
        <v>0.77</v>
      </c>
      <c r="AD83" s="86">
        <f t="shared" si="56"/>
        <v>0.31</v>
      </c>
      <c r="AE83" s="45">
        <f t="shared" si="57"/>
        <v>14288103.048280889</v>
      </c>
      <c r="AF83" s="45">
        <f t="shared" si="57"/>
        <v>6479919.9917585086</v>
      </c>
      <c r="AG83" s="45">
        <f t="shared" si="43"/>
        <v>20768023.040039398</v>
      </c>
      <c r="AH83" s="47">
        <f>IF(Y83="No",0,IFERROR(ROUNDDOWN(INDEX('90% of ACR'!K:K,MATCH(H:H,'90% of ACR'!A:A,0))*IF(I83&gt;0,IF(O83&gt;0,$R$4*MAX(O83-V83,0),0),0)/I83,2),0))</f>
        <v>0.74</v>
      </c>
      <c r="AI83" s="86">
        <f>IF(Y83="No",0,IFERROR(ROUNDDOWN(INDEX('90% of ACR'!R:R,MATCH(H:H,'90% of ACR'!A:A,0))*IF(J83&gt;0,IF(P83&gt;0,$R$4*MAX(P83-W83,0),0),0)/J83,2),0))</f>
        <v>0.22</v>
      </c>
      <c r="AJ83" s="45">
        <f t="shared" si="44"/>
        <v>13731423.708737478</v>
      </c>
      <c r="AK83" s="45">
        <f t="shared" si="44"/>
        <v>4598652.8973770058</v>
      </c>
      <c r="AL83" s="47">
        <f t="shared" si="45"/>
        <v>1.95</v>
      </c>
      <c r="AM83" s="47">
        <f t="shared" si="45"/>
        <v>1.1599999999999999</v>
      </c>
      <c r="AN83" s="87">
        <f>IFERROR(INDEX(FeeCalc!P:P,MATCH(C83,FeeCalc!F:F,0)),0)</f>
        <v>60431599.620127767</v>
      </c>
      <c r="AO83" s="87">
        <f>IFERROR(INDEX(FeeCalc!S:S,MATCH(C83,FeeCalc!F:F,0)),0)</f>
        <v>3730328.8642862388</v>
      </c>
      <c r="AP83" s="87">
        <f t="shared" si="46"/>
        <v>64161928.484414004</v>
      </c>
      <c r="AQ83" s="72">
        <f t="shared" si="47"/>
        <v>27225959.437648367</v>
      </c>
      <c r="AR83" s="72">
        <f t="shared" si="48"/>
        <v>13612979.718824184</v>
      </c>
      <c r="AS83" s="72">
        <f t="shared" si="49"/>
        <v>13612979.718824184</v>
      </c>
      <c r="AT83" s="72">
        <f>IFERROR(IFERROR(INDEX('2023 IP UPL Data'!L:L,MATCH(A:A,'2023 IP UPL Data'!B:B,0)),INDEX('2023 IMD UPL Data'!I:I,MATCH(A:A,'2023 IMD UPL Data'!B:B,0))),0)</f>
        <v>18615318.85207101</v>
      </c>
      <c r="AU83" s="72">
        <f>IFERROR(IF(F81="IMD",0,INDEX('2023 OP UPL Data'!J:J,MATCH(A:A,'2023 OP UPL Data'!B:B,0))),0)</f>
        <v>12188016.082840236</v>
      </c>
      <c r="AV83" s="45">
        <f t="shared" si="50"/>
        <v>30803334.934911244</v>
      </c>
      <c r="AW83" s="72">
        <f>IFERROR(IFERROR(INDEX('2023 IP UPL Data'!M:M,MATCH(A:A,'2023 IP UPL Data'!B:B,0)),INDEX('2023 IMD UPL Data'!K:K,MATCH(A:A,'2023 IMD UPL Data'!B:B,0))),0)</f>
        <v>41553040.43</v>
      </c>
      <c r="AX83" s="72">
        <f>IFERROR(IF(F81="IMD",0,INDEX('2023 OP UPL Data'!L:L,MATCH(A:A,'2023 OP UPL Data'!B:B,0))),0)</f>
        <v>23285796.93</v>
      </c>
      <c r="AY83" s="45">
        <f t="shared" si="51"/>
        <v>64838837.359999999</v>
      </c>
      <c r="AZ83" s="72">
        <v>61474836.665989667</v>
      </c>
      <c r="BA83" s="72">
        <v>41033077.557825059</v>
      </c>
      <c r="BB83" s="72">
        <f t="shared" si="52"/>
        <v>39022103.304405414</v>
      </c>
      <c r="BC83" s="72">
        <f t="shared" si="52"/>
        <v>21384287.905396033</v>
      </c>
      <c r="BD83" s="72">
        <f t="shared" si="53"/>
        <v>60406391.20980145</v>
      </c>
      <c r="BE83" s="94">
        <f t="shared" si="54"/>
        <v>19921796.235989667</v>
      </c>
      <c r="BF83" s="94">
        <f t="shared" si="54"/>
        <v>17747280.627825059</v>
      </c>
      <c r="BG83" s="73">
        <f>IFERROR(INDEX('2023 IP UPL Data'!K:K,MATCH(A83,'2023 IP UPL Data'!B:B,0)),0)</f>
        <v>0</v>
      </c>
    </row>
    <row r="84" spans="1:59">
      <c r="A84" s="124" t="s">
        <v>1571</v>
      </c>
      <c r="B84" s="149" t="s">
        <v>1571</v>
      </c>
      <c r="C84" s="31" t="s">
        <v>1624</v>
      </c>
      <c r="D84" s="181" t="s">
        <v>1624</v>
      </c>
      <c r="E84" s="144" t="s">
        <v>3460</v>
      </c>
      <c r="F84" s="120" t="s">
        <v>2718</v>
      </c>
      <c r="G84" s="120" t="s">
        <v>310</v>
      </c>
      <c r="H84" s="43" t="str">
        <f t="shared" si="34"/>
        <v>Urban MRSA Northeast</v>
      </c>
      <c r="I84" s="45">
        <f>INDEX(FeeCalc!M:M,MATCH(C:C,FeeCalc!F:F,0))</f>
        <v>5658339.9941283204</v>
      </c>
      <c r="J84" s="45">
        <f>INDEX(FeeCalc!L:L,MATCH(C:C,FeeCalc!F:F,0))</f>
        <v>3135454.9403080419</v>
      </c>
      <c r="K84" s="45">
        <f t="shared" si="35"/>
        <v>8793794.9344363622</v>
      </c>
      <c r="L84" s="45">
        <f>IFERROR(IFERROR(INDEX('2023 IP UPL Data'!N:N,MATCH(A:A,'2023 IP UPL Data'!B:B,0)),INDEX('2023 IMD UPL Data'!M:M,MATCH(A:A,'2023 IMD UPL Data'!B:B,0))),0)</f>
        <v>6732411.7739130426</v>
      </c>
      <c r="M84" s="45">
        <f>IFERROR((IF(F84="IMD",0,INDEX('2023 OP UPL Data'!M:M,MATCH(A:A,'2023 OP UPL Data'!B:B,0)))),0)</f>
        <v>4728174.1771739135</v>
      </c>
      <c r="N84" s="45">
        <f t="shared" si="36"/>
        <v>11460585.951086957</v>
      </c>
      <c r="O84" s="45">
        <v>17196059.578543745</v>
      </c>
      <c r="P84" s="45">
        <v>7040934.4247636227</v>
      </c>
      <c r="Q84" s="45">
        <f t="shared" si="37"/>
        <v>24236994.003307369</v>
      </c>
      <c r="R84" s="45" t="str">
        <f t="shared" si="38"/>
        <v>Yes</v>
      </c>
      <c r="S84" s="46" t="str">
        <f t="shared" si="38"/>
        <v>Yes</v>
      </c>
      <c r="T84" s="47">
        <f>ROUND(INDEX(Summary!H:H,MATCH(H:H,Summary!A:A,0)),2)</f>
        <v>0.79</v>
      </c>
      <c r="U84" s="47">
        <f>ROUND(INDEX(Summary!I:I,MATCH(H:H,Summary!A:A,0)),2)</f>
        <v>1.2</v>
      </c>
      <c r="V84" s="85">
        <f t="shared" si="39"/>
        <v>4470088.5953613734</v>
      </c>
      <c r="W84" s="85">
        <f t="shared" si="39"/>
        <v>3762545.9283696502</v>
      </c>
      <c r="X84" s="45">
        <f t="shared" si="40"/>
        <v>8232634.5237310231</v>
      </c>
      <c r="Y84" s="45" t="s">
        <v>3223</v>
      </c>
      <c r="Z84" s="45" t="str">
        <f t="shared" si="41"/>
        <v>Yes</v>
      </c>
      <c r="AA84" s="45" t="str">
        <f t="shared" si="41"/>
        <v>Yes</v>
      </c>
      <c r="AB84" s="45" t="str">
        <f t="shared" si="42"/>
        <v>Yes</v>
      </c>
      <c r="AC84" s="86">
        <f t="shared" si="55"/>
        <v>1.57</v>
      </c>
      <c r="AD84" s="86">
        <f t="shared" si="56"/>
        <v>0.73</v>
      </c>
      <c r="AE84" s="45">
        <f t="shared" si="57"/>
        <v>8883593.7907814626</v>
      </c>
      <c r="AF84" s="45">
        <f t="shared" si="57"/>
        <v>2288882.1064248704</v>
      </c>
      <c r="AG84" s="45">
        <f t="shared" si="43"/>
        <v>11172475.897206333</v>
      </c>
      <c r="AH84" s="47">
        <f>IF(Y84="No",0,IFERROR(ROUNDDOWN(INDEX('90% of ACR'!K:K,MATCH(H:H,'90% of ACR'!A:A,0))*IF(I84&gt;0,IF(O84&gt;0,$R$4*MAX(O84-V84,0),0),0)/I84,2),0))</f>
        <v>1.56</v>
      </c>
      <c r="AI84" s="86">
        <f>IF(Y84="No",0,IFERROR(ROUNDDOWN(INDEX('90% of ACR'!R:R,MATCH(H:H,'90% of ACR'!A:A,0))*IF(J84&gt;0,IF(P84&gt;0,$R$4*MAX(P84-W84,0),0),0)/J84,2),0))</f>
        <v>0.72</v>
      </c>
      <c r="AJ84" s="45">
        <f t="shared" si="44"/>
        <v>8827010.3908401802</v>
      </c>
      <c r="AK84" s="45">
        <f t="shared" si="44"/>
        <v>2257527.5570217902</v>
      </c>
      <c r="AL84" s="47">
        <f t="shared" si="45"/>
        <v>2.35</v>
      </c>
      <c r="AM84" s="47">
        <f t="shared" si="45"/>
        <v>1.92</v>
      </c>
      <c r="AN84" s="87">
        <f>IFERROR(INDEX(FeeCalc!P:P,MATCH(C84,FeeCalc!F:F,0)),0)</f>
        <v>19317172.471592993</v>
      </c>
      <c r="AO84" s="87">
        <f>IFERROR(INDEX(FeeCalc!S:S,MATCH(C84,FeeCalc!F:F,0)),0)</f>
        <v>1201644.7073834201</v>
      </c>
      <c r="AP84" s="87">
        <f t="shared" si="46"/>
        <v>20518817.178976413</v>
      </c>
      <c r="AQ84" s="72">
        <f t="shared" si="47"/>
        <v>8706790.7311894204</v>
      </c>
      <c r="AR84" s="72">
        <f t="shared" si="48"/>
        <v>4353395.3655947102</v>
      </c>
      <c r="AS84" s="72">
        <f t="shared" si="49"/>
        <v>4353395.3655947102</v>
      </c>
      <c r="AT84" s="72">
        <f>IFERROR(IFERROR(INDEX('2023 IP UPL Data'!L:L,MATCH(A:A,'2023 IP UPL Data'!B:B,0)),INDEX('2023 IMD UPL Data'!I:I,MATCH(A:A,'2023 IMD UPL Data'!B:B,0))),0)</f>
        <v>6494436.826086957</v>
      </c>
      <c r="AU84" s="72">
        <f>IFERROR(IF(F82="IMD",0,INDEX('2023 OP UPL Data'!J:J,MATCH(A:A,'2023 OP UPL Data'!B:B,0))),0)</f>
        <v>1708444.2228260869</v>
      </c>
      <c r="AV84" s="45">
        <f t="shared" si="50"/>
        <v>8202881.0489130439</v>
      </c>
      <c r="AW84" s="72">
        <f>IFERROR(IFERROR(INDEX('2023 IP UPL Data'!M:M,MATCH(A:A,'2023 IP UPL Data'!B:B,0)),INDEX('2023 IMD UPL Data'!K:K,MATCH(A:A,'2023 IMD UPL Data'!B:B,0))),0)</f>
        <v>13226848.6</v>
      </c>
      <c r="AX84" s="72">
        <f>IFERROR(IF(F82="IMD",0,INDEX('2023 OP UPL Data'!L:L,MATCH(A:A,'2023 OP UPL Data'!B:B,0))),0)</f>
        <v>6436618.4000000004</v>
      </c>
      <c r="AY84" s="45">
        <f t="shared" si="51"/>
        <v>19663467</v>
      </c>
      <c r="AZ84" s="72">
        <v>23690496.404630702</v>
      </c>
      <c r="BA84" s="72">
        <v>8749378.6475897096</v>
      </c>
      <c r="BB84" s="72">
        <f t="shared" si="52"/>
        <v>19220407.809269328</v>
      </c>
      <c r="BC84" s="72">
        <f t="shared" si="52"/>
        <v>4986832.719220059</v>
      </c>
      <c r="BD84" s="72">
        <f t="shared" si="53"/>
        <v>24207240.528489389</v>
      </c>
      <c r="BE84" s="94">
        <f t="shared" si="54"/>
        <v>10463647.804630702</v>
      </c>
      <c r="BF84" s="94">
        <f t="shared" si="54"/>
        <v>2312760.2475897092</v>
      </c>
      <c r="BG84" s="73">
        <f>IFERROR(INDEX('2023 IP UPL Data'!K:K,MATCH(A84,'2023 IP UPL Data'!B:B,0)),0)</f>
        <v>0</v>
      </c>
    </row>
    <row r="85" spans="1:59">
      <c r="A85" s="124" t="s">
        <v>662</v>
      </c>
      <c r="B85" s="149" t="s">
        <v>662</v>
      </c>
      <c r="C85" s="31" t="s">
        <v>663</v>
      </c>
      <c r="D85" s="181" t="s">
        <v>663</v>
      </c>
      <c r="E85" s="144" t="s">
        <v>3461</v>
      </c>
      <c r="F85" s="120" t="s">
        <v>2718</v>
      </c>
      <c r="G85" s="120" t="s">
        <v>1517</v>
      </c>
      <c r="H85" s="43" t="str">
        <f t="shared" si="34"/>
        <v>Urban Hidalgo</v>
      </c>
      <c r="I85" s="45">
        <f>INDEX(FeeCalc!M:M,MATCH(C:C,FeeCalc!F:F,0))</f>
        <v>9598.0704715356314</v>
      </c>
      <c r="J85" s="45">
        <f>INDEX(FeeCalc!L:L,MATCH(C:C,FeeCalc!F:F,0))</f>
        <v>332462.3244900633</v>
      </c>
      <c r="K85" s="45">
        <f t="shared" si="35"/>
        <v>342060.39496159891</v>
      </c>
      <c r="L85" s="45">
        <f>IFERROR(IFERROR(INDEX('2023 IP UPL Data'!N:N,MATCH(A:A,'2023 IP UPL Data'!B:B,0)),INDEX('2023 IMD UPL Data'!M:M,MATCH(A:A,'2023 IMD UPL Data'!B:B,0))),0)</f>
        <v>48863.875857988169</v>
      </c>
      <c r="M85" s="45">
        <f>IFERROR((IF(F85="IMD",0,INDEX('2023 OP UPL Data'!M:M,MATCH(A:A,'2023 OP UPL Data'!B:B,0)))),0)</f>
        <v>587275.13810650888</v>
      </c>
      <c r="N85" s="45">
        <f t="shared" si="36"/>
        <v>636139.01396449702</v>
      </c>
      <c r="O85" s="45">
        <v>135332.7109524057</v>
      </c>
      <c r="P85" s="45">
        <v>432466.92543696566</v>
      </c>
      <c r="Q85" s="45">
        <f t="shared" si="37"/>
        <v>567799.63638937136</v>
      </c>
      <c r="R85" s="45" t="str">
        <f t="shared" si="38"/>
        <v>Yes</v>
      </c>
      <c r="S85" s="46" t="str">
        <f t="shared" si="38"/>
        <v>Yes</v>
      </c>
      <c r="T85" s="47">
        <f>ROUND(INDEX(Summary!H:H,MATCH(H:H,Summary!A:A,0)),2)</f>
        <v>1.21</v>
      </c>
      <c r="U85" s="47">
        <f>ROUND(INDEX(Summary!I:I,MATCH(H:H,Summary!A:A,0)),2)</f>
        <v>0.94</v>
      </c>
      <c r="V85" s="85">
        <f t="shared" si="39"/>
        <v>11613.665270558115</v>
      </c>
      <c r="W85" s="85">
        <f t="shared" si="39"/>
        <v>312514.58502065949</v>
      </c>
      <c r="X85" s="45">
        <f t="shared" si="40"/>
        <v>324128.25029121758</v>
      </c>
      <c r="Y85" s="45" t="s">
        <v>3223</v>
      </c>
      <c r="Z85" s="45" t="str">
        <f t="shared" si="41"/>
        <v>Yes</v>
      </c>
      <c r="AA85" s="45" t="str">
        <f t="shared" si="41"/>
        <v>Yes</v>
      </c>
      <c r="AB85" s="45" t="str">
        <f t="shared" si="42"/>
        <v>Yes</v>
      </c>
      <c r="AC85" s="86">
        <f t="shared" si="55"/>
        <v>8.98</v>
      </c>
      <c r="AD85" s="86">
        <f t="shared" si="56"/>
        <v>0.25</v>
      </c>
      <c r="AE85" s="45">
        <f t="shared" si="57"/>
        <v>86190.672834389974</v>
      </c>
      <c r="AF85" s="45">
        <f t="shared" si="57"/>
        <v>83115.581122515825</v>
      </c>
      <c r="AG85" s="45">
        <f t="shared" si="43"/>
        <v>169306.2539569058</v>
      </c>
      <c r="AH85" s="47">
        <f>IF(Y85="No",0,IFERROR(ROUNDDOWN(INDEX('90% of ACR'!K:K,MATCH(H:H,'90% of ACR'!A:A,0))*IF(I85&gt;0,IF(O85&gt;0,$R$4*MAX(O85-V85,0),0),0)/I85,2),0))</f>
        <v>8.6999999999999993</v>
      </c>
      <c r="AI85" s="86">
        <f>IF(Y85="No",0,IFERROR(ROUNDDOWN(INDEX('90% of ACR'!R:R,MATCH(H:H,'90% of ACR'!A:A,0))*IF(J85&gt;0,IF(P85&gt;0,$R$4*MAX(P85-W85,0),0),0)/J85,2),0))</f>
        <v>0.18</v>
      </c>
      <c r="AJ85" s="45">
        <f t="shared" si="44"/>
        <v>83503.21310235998</v>
      </c>
      <c r="AK85" s="45">
        <f t="shared" si="44"/>
        <v>59843.218408211389</v>
      </c>
      <c r="AL85" s="47">
        <f t="shared" si="45"/>
        <v>9.91</v>
      </c>
      <c r="AM85" s="47">
        <f t="shared" si="45"/>
        <v>1.1199999999999999</v>
      </c>
      <c r="AN85" s="87">
        <f>IFERROR(INDEX(FeeCalc!P:P,MATCH(C85,FeeCalc!F:F,0)),0)</f>
        <v>467474.68180178897</v>
      </c>
      <c r="AO85" s="87">
        <f>IFERROR(INDEX(FeeCalc!S:S,MATCH(C85,FeeCalc!F:F,0)),0)</f>
        <v>29225.071289247717</v>
      </c>
      <c r="AP85" s="87">
        <f t="shared" si="46"/>
        <v>496699.75309103669</v>
      </c>
      <c r="AQ85" s="72">
        <f t="shared" si="47"/>
        <v>210765.59962862582</v>
      </c>
      <c r="AR85" s="72">
        <f t="shared" si="48"/>
        <v>105382.79981431291</v>
      </c>
      <c r="AS85" s="72">
        <f t="shared" si="49"/>
        <v>105382.79981431291</v>
      </c>
      <c r="AT85" s="72">
        <f>IFERROR(IFERROR(INDEX('2023 IP UPL Data'!L:L,MATCH(A:A,'2023 IP UPL Data'!B:B,0)),INDEX('2023 IMD UPL Data'!I:I,MATCH(A:A,'2023 IMD UPL Data'!B:B,0))),0)</f>
        <v>134717.70414201182</v>
      </c>
      <c r="AU85" s="72">
        <f>IFERROR(IF(F83="IMD",0,INDEX('2023 OP UPL Data'!J:J,MATCH(A:A,'2023 OP UPL Data'!B:B,0))),0)</f>
        <v>103004.72189349114</v>
      </c>
      <c r="AV85" s="45">
        <f t="shared" si="50"/>
        <v>237722.42603550295</v>
      </c>
      <c r="AW85" s="72">
        <f>IFERROR(IFERROR(INDEX('2023 IP UPL Data'!M:M,MATCH(A:A,'2023 IP UPL Data'!B:B,0)),INDEX('2023 IMD UPL Data'!K:K,MATCH(A:A,'2023 IMD UPL Data'!B:B,0))),0)</f>
        <v>183581.58</v>
      </c>
      <c r="AX85" s="72">
        <f>IFERROR(IF(F83="IMD",0,INDEX('2023 OP UPL Data'!L:L,MATCH(A:A,'2023 OP UPL Data'!B:B,0))),0)</f>
        <v>690279.86</v>
      </c>
      <c r="AY85" s="45">
        <f t="shared" si="51"/>
        <v>873861.44</v>
      </c>
      <c r="AZ85" s="72">
        <v>270050.41509441752</v>
      </c>
      <c r="BA85" s="72">
        <v>535471.64733045676</v>
      </c>
      <c r="BB85" s="72">
        <f t="shared" si="52"/>
        <v>258436.7498238594</v>
      </c>
      <c r="BC85" s="72">
        <f t="shared" si="52"/>
        <v>222957.06230979727</v>
      </c>
      <c r="BD85" s="72">
        <f t="shared" si="53"/>
        <v>481393.8121336567</v>
      </c>
      <c r="BE85" s="94">
        <f t="shared" si="54"/>
        <v>86468.835094417533</v>
      </c>
      <c r="BF85" s="94">
        <f t="shared" si="54"/>
        <v>0</v>
      </c>
      <c r="BG85" s="73">
        <f>IFERROR(INDEX('2023 IP UPL Data'!K:K,MATCH(A85,'2023 IP UPL Data'!B:B,0)),0)</f>
        <v>0</v>
      </c>
    </row>
    <row r="86" spans="1:59">
      <c r="A86" s="124" t="s">
        <v>137</v>
      </c>
      <c r="B86" s="149" t="s">
        <v>137</v>
      </c>
      <c r="C86" s="31" t="s">
        <v>138</v>
      </c>
      <c r="D86" s="181" t="s">
        <v>138</v>
      </c>
      <c r="E86" s="144" t="s">
        <v>3462</v>
      </c>
      <c r="F86" s="120" t="s">
        <v>2768</v>
      </c>
      <c r="G86" s="120" t="s">
        <v>310</v>
      </c>
      <c r="H86" s="43" t="str">
        <f t="shared" si="34"/>
        <v>Rural MRSA Northeast</v>
      </c>
      <c r="I86" s="45">
        <f>INDEX(FeeCalc!M:M,MATCH(C:C,FeeCalc!F:F,0))</f>
        <v>212595.75490324362</v>
      </c>
      <c r="J86" s="45">
        <f>INDEX(FeeCalc!L:L,MATCH(C:C,FeeCalc!F:F,0))</f>
        <v>899739.89146174956</v>
      </c>
      <c r="K86" s="45">
        <f t="shared" si="35"/>
        <v>1112335.6463649932</v>
      </c>
      <c r="L86" s="45">
        <f>IFERROR(IFERROR(INDEX('2023 IP UPL Data'!N:N,MATCH(A:A,'2023 IP UPL Data'!B:B,0)),INDEX('2023 IMD UPL Data'!M:M,MATCH(A:A,'2023 IMD UPL Data'!B:B,0))),0)</f>
        <v>-22088.586377177955</v>
      </c>
      <c r="M86" s="45">
        <f>IFERROR((IF(F86="IMD",0,INDEX('2023 OP UPL Data'!M:M,MATCH(A:A,'2023 OP UPL Data'!B:B,0)))),0)</f>
        <v>-29717.554193548363</v>
      </c>
      <c r="N86" s="45">
        <f t="shared" si="36"/>
        <v>-51806.140570726318</v>
      </c>
      <c r="O86" s="45">
        <v>71464.393622822055</v>
      </c>
      <c r="P86" s="45">
        <v>269709.53486389178</v>
      </c>
      <c r="Q86" s="45">
        <f t="shared" si="37"/>
        <v>341173.92848671385</v>
      </c>
      <c r="R86" s="45" t="str">
        <f t="shared" si="38"/>
        <v>Yes</v>
      </c>
      <c r="S86" s="46" t="str">
        <f t="shared" si="38"/>
        <v>Yes</v>
      </c>
      <c r="T86" s="47">
        <f>ROUND(INDEX(Summary!H:H,MATCH(H:H,Summary!A:A,0)),2)</f>
        <v>0.16</v>
      </c>
      <c r="U86" s="47">
        <f>ROUND(INDEX(Summary!I:I,MATCH(H:H,Summary!A:A,0)),2)</f>
        <v>0.42</v>
      </c>
      <c r="V86" s="85">
        <f t="shared" si="39"/>
        <v>34015.320784518983</v>
      </c>
      <c r="W86" s="85">
        <f t="shared" si="39"/>
        <v>377890.75441393477</v>
      </c>
      <c r="X86" s="45">
        <f t="shared" si="40"/>
        <v>411906.07519845373</v>
      </c>
      <c r="Y86" s="45" t="s">
        <v>3223</v>
      </c>
      <c r="Z86" s="45" t="str">
        <f t="shared" si="41"/>
        <v>Yes</v>
      </c>
      <c r="AA86" s="45" t="str">
        <f t="shared" si="41"/>
        <v>No</v>
      </c>
      <c r="AB86" s="45" t="str">
        <f t="shared" si="42"/>
        <v>Yes</v>
      </c>
      <c r="AC86" s="86">
        <f t="shared" si="55"/>
        <v>0.12</v>
      </c>
      <c r="AD86" s="86">
        <f t="shared" si="56"/>
        <v>0</v>
      </c>
      <c r="AE86" s="45">
        <f t="shared" si="57"/>
        <v>25511.490588389235</v>
      </c>
      <c r="AF86" s="45">
        <f t="shared" si="57"/>
        <v>0</v>
      </c>
      <c r="AG86" s="45">
        <f t="shared" si="43"/>
        <v>25511.490588389235</v>
      </c>
      <c r="AH86" s="47">
        <f>IF(Y86="No",0,IFERROR(ROUNDDOWN(INDEX('90% of ACR'!K:K,MATCH(H:H,'90% of ACR'!A:A,0))*IF(I86&gt;0,IF(O86&gt;0,$R$4*MAX(O86-V86,0),0),0)/I86,2),0))</f>
        <v>0.05</v>
      </c>
      <c r="AI86" s="86">
        <f>IF(Y86="No",0,IFERROR(ROUNDDOWN(INDEX('90% of ACR'!R:R,MATCH(H:H,'90% of ACR'!A:A,0))*IF(J86&gt;0,IF(P86&gt;0,$R$4*MAX(P86-W86,0),0),0)/J86,2),0))</f>
        <v>0</v>
      </c>
      <c r="AJ86" s="45">
        <f t="shared" si="44"/>
        <v>10629.787745162183</v>
      </c>
      <c r="AK86" s="45">
        <f t="shared" si="44"/>
        <v>0</v>
      </c>
      <c r="AL86" s="47">
        <f t="shared" si="45"/>
        <v>0.21000000000000002</v>
      </c>
      <c r="AM86" s="47">
        <f t="shared" si="45"/>
        <v>0.42</v>
      </c>
      <c r="AN86" s="87">
        <f>IFERROR(INDEX(FeeCalc!P:P,MATCH(C86,FeeCalc!F:F,0)),0)</f>
        <v>422535.86294361594</v>
      </c>
      <c r="AO86" s="87">
        <f>IFERROR(INDEX(FeeCalc!S:S,MATCH(C86,FeeCalc!F:F,0)),0)</f>
        <v>26266.136906143282</v>
      </c>
      <c r="AP86" s="87">
        <f t="shared" si="46"/>
        <v>448801.99984975922</v>
      </c>
      <c r="AQ86" s="72">
        <f t="shared" si="47"/>
        <v>190441.05020024808</v>
      </c>
      <c r="AR86" s="72">
        <f t="shared" si="48"/>
        <v>95220.525100124039</v>
      </c>
      <c r="AS86" s="72">
        <f t="shared" si="49"/>
        <v>95220.525100124039</v>
      </c>
      <c r="AT86" s="72">
        <f>IFERROR(IFERROR(INDEX('2023 IP UPL Data'!L:L,MATCH(A:A,'2023 IP UPL Data'!B:B,0)),INDEX('2023 IMD UPL Data'!I:I,MATCH(A:A,'2023 IMD UPL Data'!B:B,0))),0)</f>
        <v>61453.806377177956</v>
      </c>
      <c r="AU86" s="72">
        <f>IFERROR(IF(F84="IMD",0,INDEX('2023 OP UPL Data'!J:J,MATCH(A:A,'2023 OP UPL Data'!B:B,0))),0)</f>
        <v>226234.30419354836</v>
      </c>
      <c r="AV86" s="45">
        <f t="shared" si="50"/>
        <v>287688.11057072633</v>
      </c>
      <c r="AW86" s="72">
        <f>IFERROR(IFERROR(INDEX('2023 IP UPL Data'!M:M,MATCH(A:A,'2023 IP UPL Data'!B:B,0)),INDEX('2023 IMD UPL Data'!K:K,MATCH(A:A,'2023 IMD UPL Data'!B:B,0))),0)</f>
        <v>39365.22</v>
      </c>
      <c r="AX86" s="72">
        <f>IFERROR(IF(F84="IMD",0,INDEX('2023 OP UPL Data'!L:L,MATCH(A:A,'2023 OP UPL Data'!B:B,0))),0)</f>
        <v>196516.75</v>
      </c>
      <c r="AY86" s="45">
        <f t="shared" si="51"/>
        <v>235881.97</v>
      </c>
      <c r="AZ86" s="72">
        <v>132918.20000000001</v>
      </c>
      <c r="BA86" s="72">
        <v>495943.83905744011</v>
      </c>
      <c r="BB86" s="72">
        <f t="shared" si="52"/>
        <v>98902.879215481022</v>
      </c>
      <c r="BC86" s="72">
        <f t="shared" si="52"/>
        <v>118053.08464350534</v>
      </c>
      <c r="BD86" s="72">
        <f t="shared" si="53"/>
        <v>216955.96385898639</v>
      </c>
      <c r="BE86" s="94">
        <f t="shared" si="54"/>
        <v>93552.98000000001</v>
      </c>
      <c r="BF86" s="94">
        <f t="shared" si="54"/>
        <v>299427.08905744011</v>
      </c>
      <c r="BG86" s="73">
        <f>IFERROR(INDEX('2023 IP UPL Data'!K:K,MATCH(A86,'2023 IP UPL Data'!B:B,0)),0)</f>
        <v>0</v>
      </c>
    </row>
    <row r="87" spans="1:59">
      <c r="A87" s="124" t="s">
        <v>1107</v>
      </c>
      <c r="B87" s="149" t="s">
        <v>1107</v>
      </c>
      <c r="C87" s="31" t="s">
        <v>1108</v>
      </c>
      <c r="D87" s="181" t="s">
        <v>1108</v>
      </c>
      <c r="E87" s="144" t="s">
        <v>3463</v>
      </c>
      <c r="F87" s="120" t="s">
        <v>2768</v>
      </c>
      <c r="G87" s="120" t="s">
        <v>1489</v>
      </c>
      <c r="H87" s="43" t="str">
        <f t="shared" si="34"/>
        <v>Rural MRSA Central</v>
      </c>
      <c r="I87" s="45">
        <f>INDEX(FeeCalc!M:M,MATCH(C:C,FeeCalc!F:F,0))</f>
        <v>2677429.9375472683</v>
      </c>
      <c r="J87" s="45">
        <f>INDEX(FeeCalc!L:L,MATCH(C:C,FeeCalc!F:F,0))</f>
        <v>1950962.5929047926</v>
      </c>
      <c r="K87" s="45">
        <f t="shared" si="35"/>
        <v>4628392.5304520614</v>
      </c>
      <c r="L87" s="45">
        <f>IFERROR(IFERROR(INDEX('2023 IP UPL Data'!N:N,MATCH(A:A,'2023 IP UPL Data'!B:B,0)),INDEX('2023 IMD UPL Data'!M:M,MATCH(A:A,'2023 IMD UPL Data'!B:B,0))),0)</f>
        <v>-681266.09650454926</v>
      </c>
      <c r="M87" s="45">
        <f>IFERROR((IF(F87="IMD",0,INDEX('2023 OP UPL Data'!M:M,MATCH(A:A,'2023 OP UPL Data'!B:B,0)))),0)</f>
        <v>763825.45059602649</v>
      </c>
      <c r="N87" s="45">
        <f t="shared" si="36"/>
        <v>82559.354091477231</v>
      </c>
      <c r="O87" s="45">
        <v>144356.76268730289</v>
      </c>
      <c r="P87" s="45">
        <v>2142656.4939011759</v>
      </c>
      <c r="Q87" s="45">
        <f t="shared" si="37"/>
        <v>2287013.2565884786</v>
      </c>
      <c r="R87" s="45" t="str">
        <f t="shared" si="38"/>
        <v>Yes</v>
      </c>
      <c r="S87" s="46" t="str">
        <f t="shared" si="38"/>
        <v>Yes</v>
      </c>
      <c r="T87" s="47">
        <f>ROUND(INDEX(Summary!H:H,MATCH(H:H,Summary!A:A,0)),2)</f>
        <v>0</v>
      </c>
      <c r="U87" s="47">
        <f>ROUND(INDEX(Summary!I:I,MATCH(H:H,Summary!A:A,0)),2)</f>
        <v>0.17</v>
      </c>
      <c r="V87" s="85">
        <f t="shared" si="39"/>
        <v>0</v>
      </c>
      <c r="W87" s="85">
        <f t="shared" si="39"/>
        <v>331663.64079381479</v>
      </c>
      <c r="X87" s="45">
        <f t="shared" si="40"/>
        <v>331663.64079381479</v>
      </c>
      <c r="Y87" s="45" t="s">
        <v>3223</v>
      </c>
      <c r="Z87" s="45" t="str">
        <f t="shared" si="41"/>
        <v>No</v>
      </c>
      <c r="AA87" s="45" t="str">
        <f t="shared" si="41"/>
        <v>Yes</v>
      </c>
      <c r="AB87" s="45" t="str">
        <f t="shared" si="42"/>
        <v>Yes</v>
      </c>
      <c r="AC87" s="86">
        <f t="shared" si="55"/>
        <v>0.04</v>
      </c>
      <c r="AD87" s="86">
        <f t="shared" si="56"/>
        <v>0.65</v>
      </c>
      <c r="AE87" s="45">
        <f t="shared" si="57"/>
        <v>107097.19750189074</v>
      </c>
      <c r="AF87" s="45">
        <f t="shared" si="57"/>
        <v>1268125.6853881152</v>
      </c>
      <c r="AG87" s="45">
        <f t="shared" si="43"/>
        <v>1375222.8828900061</v>
      </c>
      <c r="AH87" s="47">
        <f>IF(Y87="No",0,IFERROR(ROUNDDOWN(INDEX('90% of ACR'!K:K,MATCH(H:H,'90% of ACR'!A:A,0))*IF(I87&gt;0,IF(O87&gt;0,$R$4*MAX(O87-V87,0),0),0)/I87,2),0))</f>
        <v>0</v>
      </c>
      <c r="AI87" s="86">
        <f>IF(Y87="No",0,IFERROR(ROUNDDOWN(INDEX('90% of ACR'!R:R,MATCH(H:H,'90% of ACR'!A:A,0))*IF(J87&gt;0,IF(P87&gt;0,$R$4*MAX(P87-W87,0),0),0)/J87,2),0))</f>
        <v>0.64</v>
      </c>
      <c r="AJ87" s="45">
        <f t="shared" si="44"/>
        <v>0</v>
      </c>
      <c r="AK87" s="45">
        <f t="shared" si="44"/>
        <v>1248616.0594590674</v>
      </c>
      <c r="AL87" s="47">
        <f t="shared" si="45"/>
        <v>0</v>
      </c>
      <c r="AM87" s="47">
        <f t="shared" si="45"/>
        <v>0.81</v>
      </c>
      <c r="AN87" s="87">
        <f>IFERROR(INDEX(FeeCalc!P:P,MATCH(C87,FeeCalc!F:F,0)),0)</f>
        <v>1580279.7002528822</v>
      </c>
      <c r="AO87" s="87">
        <f>IFERROR(INDEX(FeeCalc!S:S,MATCH(C87,FeeCalc!F:F,0)),0)</f>
        <v>97374.294262977113</v>
      </c>
      <c r="AP87" s="87">
        <f t="shared" si="46"/>
        <v>1677653.9945158593</v>
      </c>
      <c r="AQ87" s="72">
        <f t="shared" si="47"/>
        <v>711882.27480090363</v>
      </c>
      <c r="AR87" s="72">
        <f t="shared" si="48"/>
        <v>355941.13740045181</v>
      </c>
      <c r="AS87" s="72">
        <f t="shared" si="49"/>
        <v>355941.13740045181</v>
      </c>
      <c r="AT87" s="72">
        <f>IFERROR(IFERROR(INDEX('2023 IP UPL Data'!L:L,MATCH(A:A,'2023 IP UPL Data'!B:B,0)),INDEX('2023 IMD UPL Data'!I:I,MATCH(A:A,'2023 IMD UPL Data'!B:B,0))),0)</f>
        <v>1272194.1165045493</v>
      </c>
      <c r="AU87" s="72">
        <f>IFERROR(IF(F85="IMD",0,INDEX('2023 OP UPL Data'!J:J,MATCH(A:A,'2023 OP UPL Data'!B:B,0))),0)</f>
        <v>725865.22940397344</v>
      </c>
      <c r="AV87" s="45">
        <f t="shared" si="50"/>
        <v>1998059.3459085226</v>
      </c>
      <c r="AW87" s="72">
        <f>IFERROR(IFERROR(INDEX('2023 IP UPL Data'!M:M,MATCH(A:A,'2023 IP UPL Data'!B:B,0)),INDEX('2023 IMD UPL Data'!K:K,MATCH(A:A,'2023 IMD UPL Data'!B:B,0))),0)</f>
        <v>590928.02</v>
      </c>
      <c r="AX87" s="72">
        <f>IFERROR(IF(F85="IMD",0,INDEX('2023 OP UPL Data'!L:L,MATCH(A:A,'2023 OP UPL Data'!B:B,0))),0)</f>
        <v>1489690.68</v>
      </c>
      <c r="AY87" s="45">
        <f t="shared" si="51"/>
        <v>2080618.7</v>
      </c>
      <c r="AZ87" s="72">
        <v>1416550.8791918522</v>
      </c>
      <c r="BA87" s="72">
        <v>2868521.7233051495</v>
      </c>
      <c r="BB87" s="72">
        <f t="shared" si="52"/>
        <v>1416550.8791918522</v>
      </c>
      <c r="BC87" s="72">
        <f t="shared" si="52"/>
        <v>2536858.0825113347</v>
      </c>
      <c r="BD87" s="72">
        <f t="shared" si="53"/>
        <v>3953408.9617031873</v>
      </c>
      <c r="BE87" s="94">
        <f t="shared" si="54"/>
        <v>825622.85919185216</v>
      </c>
      <c r="BF87" s="94">
        <f t="shared" si="54"/>
        <v>1378831.0433051495</v>
      </c>
      <c r="BG87" s="73">
        <f>IFERROR(INDEX('2023 IP UPL Data'!K:K,MATCH(A87,'2023 IP UPL Data'!B:B,0)),0)</f>
        <v>0</v>
      </c>
    </row>
    <row r="88" spans="1:59">
      <c r="A88" s="124" t="s">
        <v>1113</v>
      </c>
      <c r="B88" s="149" t="s">
        <v>1113</v>
      </c>
      <c r="C88" s="31" t="s">
        <v>1114</v>
      </c>
      <c r="D88" s="181" t="s">
        <v>1114</v>
      </c>
      <c r="E88" s="144" t="s">
        <v>3464</v>
      </c>
      <c r="F88" s="120" t="s">
        <v>2718</v>
      </c>
      <c r="G88" s="120" t="s">
        <v>223</v>
      </c>
      <c r="H88" s="43" t="str">
        <f t="shared" si="34"/>
        <v>Urban Dallas</v>
      </c>
      <c r="I88" s="45">
        <f>INDEX(FeeCalc!M:M,MATCH(C:C,FeeCalc!F:F,0))</f>
        <v>12617355.012088468</v>
      </c>
      <c r="J88" s="45">
        <f>INDEX(FeeCalc!L:L,MATCH(C:C,FeeCalc!F:F,0))</f>
        <v>2760030.8773625111</v>
      </c>
      <c r="K88" s="45">
        <f t="shared" si="35"/>
        <v>15377385.889450978</v>
      </c>
      <c r="L88" s="45">
        <f>IFERROR(IFERROR(INDEX('2023 IP UPL Data'!N:N,MATCH(A:A,'2023 IP UPL Data'!B:B,0)),INDEX('2023 IMD UPL Data'!M:M,MATCH(A:A,'2023 IMD UPL Data'!B:B,0))),0)</f>
        <v>10278379.00301205</v>
      </c>
      <c r="M88" s="45">
        <f>IFERROR((IF(F88="IMD",0,INDEX('2023 OP UPL Data'!M:M,MATCH(A:A,'2023 OP UPL Data'!B:B,0)))),0)</f>
        <v>4587202.9049397595</v>
      </c>
      <c r="N88" s="45">
        <f t="shared" si="36"/>
        <v>14865581.907951809</v>
      </c>
      <c r="O88" s="45">
        <v>43157448.743393838</v>
      </c>
      <c r="P88" s="45">
        <v>7909699.1937312298</v>
      </c>
      <c r="Q88" s="45">
        <f t="shared" si="37"/>
        <v>51067147.937125072</v>
      </c>
      <c r="R88" s="45" t="str">
        <f t="shared" si="38"/>
        <v>Yes</v>
      </c>
      <c r="S88" s="46" t="str">
        <f t="shared" si="38"/>
        <v>Yes</v>
      </c>
      <c r="T88" s="47">
        <f>ROUND(INDEX(Summary!H:H,MATCH(H:H,Summary!A:A,0)),2)</f>
        <v>1.2</v>
      </c>
      <c r="U88" s="47">
        <f>ROUND(INDEX(Summary!I:I,MATCH(H:H,Summary!A:A,0)),2)</f>
        <v>1.08</v>
      </c>
      <c r="V88" s="85">
        <f t="shared" si="39"/>
        <v>15140826.014506161</v>
      </c>
      <c r="W88" s="85">
        <f t="shared" si="39"/>
        <v>2980833.3475515121</v>
      </c>
      <c r="X88" s="45">
        <f t="shared" si="40"/>
        <v>18121659.362057675</v>
      </c>
      <c r="Y88" s="45" t="s">
        <v>3223</v>
      </c>
      <c r="Z88" s="45" t="str">
        <f t="shared" si="41"/>
        <v>Yes</v>
      </c>
      <c r="AA88" s="45" t="str">
        <f t="shared" si="41"/>
        <v>Yes</v>
      </c>
      <c r="AB88" s="45" t="str">
        <f t="shared" si="42"/>
        <v>Yes</v>
      </c>
      <c r="AC88" s="86">
        <f t="shared" si="55"/>
        <v>1.55</v>
      </c>
      <c r="AD88" s="86">
        <f t="shared" si="56"/>
        <v>1.24</v>
      </c>
      <c r="AE88" s="45">
        <f t="shared" si="57"/>
        <v>19556900.268737126</v>
      </c>
      <c r="AF88" s="45">
        <f t="shared" si="57"/>
        <v>3422438.287929514</v>
      </c>
      <c r="AG88" s="45">
        <f t="shared" si="43"/>
        <v>22979338.556666639</v>
      </c>
      <c r="AH88" s="47">
        <f>IF(Y88="No",0,IFERROR(ROUNDDOWN(INDEX('90% of ACR'!K:K,MATCH(H:H,'90% of ACR'!A:A,0))*IF(I88&gt;0,IF(O88&gt;0,$R$4*MAX(O88-V88,0),0),0)/I88,2),0))</f>
        <v>1.49</v>
      </c>
      <c r="AI88" s="86">
        <f>IF(Y88="No",0,IFERROR(ROUNDDOWN(INDEX('90% of ACR'!R:R,MATCH(H:H,'90% of ACR'!A:A,0))*IF(J88&gt;0,IF(P88&gt;0,$R$4*MAX(P88-W88,0),0),0)/J88,2),0))</f>
        <v>1.24</v>
      </c>
      <c r="AJ88" s="45">
        <f t="shared" si="44"/>
        <v>18799858.968011819</v>
      </c>
      <c r="AK88" s="45">
        <f t="shared" si="44"/>
        <v>3422438.287929514</v>
      </c>
      <c r="AL88" s="47">
        <f t="shared" si="45"/>
        <v>2.69</v>
      </c>
      <c r="AM88" s="47">
        <f t="shared" si="45"/>
        <v>2.3200000000000003</v>
      </c>
      <c r="AN88" s="87">
        <f>IFERROR(INDEX(FeeCalc!P:P,MATCH(C88,FeeCalc!F:F,0)),0)</f>
        <v>40343956.61799901</v>
      </c>
      <c r="AO88" s="87">
        <f>IFERROR(INDEX(FeeCalc!S:S,MATCH(C88,FeeCalc!F:F,0)),0)</f>
        <v>2511837.2497893609</v>
      </c>
      <c r="AP88" s="87">
        <f t="shared" si="46"/>
        <v>42855793.867788374</v>
      </c>
      <c r="AQ88" s="72">
        <f t="shared" si="47"/>
        <v>18185084.72350638</v>
      </c>
      <c r="AR88" s="72">
        <f t="shared" si="48"/>
        <v>9092542.3617531899</v>
      </c>
      <c r="AS88" s="72">
        <f t="shared" si="49"/>
        <v>9092542.3617531899</v>
      </c>
      <c r="AT88" s="72">
        <f>IFERROR(IFERROR(INDEX('2023 IP UPL Data'!L:L,MATCH(A:A,'2023 IP UPL Data'!B:B,0)),INDEX('2023 IMD UPL Data'!I:I,MATCH(A:A,'2023 IMD UPL Data'!B:B,0))),0)</f>
        <v>14190742.74698795</v>
      </c>
      <c r="AU88" s="72">
        <f>IFERROR(IF(F86="IMD",0,INDEX('2023 OP UPL Data'!J:J,MATCH(A:A,'2023 OP UPL Data'!B:B,0))),0)</f>
        <v>1853112.7650602409</v>
      </c>
      <c r="AV88" s="45">
        <f t="shared" si="50"/>
        <v>16043855.51204819</v>
      </c>
      <c r="AW88" s="72">
        <f>IFERROR(IFERROR(INDEX('2023 IP UPL Data'!M:M,MATCH(A:A,'2023 IP UPL Data'!B:B,0)),INDEX('2023 IMD UPL Data'!K:K,MATCH(A:A,'2023 IMD UPL Data'!B:B,0))),0)</f>
        <v>24469121.75</v>
      </c>
      <c r="AX88" s="72">
        <f>IFERROR(IF(F86="IMD",0,INDEX('2023 OP UPL Data'!L:L,MATCH(A:A,'2023 OP UPL Data'!B:B,0))),0)</f>
        <v>6440315.6699999999</v>
      </c>
      <c r="AY88" s="45">
        <f t="shared" si="51"/>
        <v>30909437.420000002</v>
      </c>
      <c r="AZ88" s="72">
        <v>57348191.490381792</v>
      </c>
      <c r="BA88" s="72">
        <v>9762811.9587914702</v>
      </c>
      <c r="BB88" s="72">
        <f t="shared" si="52"/>
        <v>42207365.475875631</v>
      </c>
      <c r="BC88" s="72">
        <f t="shared" si="52"/>
        <v>6781978.6112399586</v>
      </c>
      <c r="BD88" s="72">
        <f t="shared" si="53"/>
        <v>48989344.087115586</v>
      </c>
      <c r="BE88" s="94">
        <f t="shared" si="54"/>
        <v>32879069.740381792</v>
      </c>
      <c r="BF88" s="94">
        <f t="shared" si="54"/>
        <v>3322496.2887914702</v>
      </c>
      <c r="BG88" s="73">
        <f>IFERROR(INDEX('2023 IP UPL Data'!K:K,MATCH(A88,'2023 IP UPL Data'!B:B,0)),0)</f>
        <v>0</v>
      </c>
    </row>
    <row r="89" spans="1:59">
      <c r="A89" s="124" t="s">
        <v>1119</v>
      </c>
      <c r="B89" s="149" t="s">
        <v>1119</v>
      </c>
      <c r="C89" s="31" t="s">
        <v>1120</v>
      </c>
      <c r="D89" s="181" t="s">
        <v>1120</v>
      </c>
      <c r="E89" s="144" t="s">
        <v>3465</v>
      </c>
      <c r="F89" s="120" t="s">
        <v>2718</v>
      </c>
      <c r="G89" s="120" t="s">
        <v>223</v>
      </c>
      <c r="H89" s="43" t="str">
        <f t="shared" si="34"/>
        <v>Urban Dallas</v>
      </c>
      <c r="I89" s="45">
        <f>INDEX(FeeCalc!M:M,MATCH(C:C,FeeCalc!F:F,0))</f>
        <v>314418.32789570041</v>
      </c>
      <c r="J89" s="45">
        <f>INDEX(FeeCalc!L:L,MATCH(C:C,FeeCalc!F:F,0))</f>
        <v>1337296.4750055217</v>
      </c>
      <c r="K89" s="45">
        <f t="shared" si="35"/>
        <v>1651714.8029012221</v>
      </c>
      <c r="L89" s="45">
        <f>IFERROR(IFERROR(INDEX('2023 IP UPL Data'!N:N,MATCH(A:A,'2023 IP UPL Data'!B:B,0)),INDEX('2023 IMD UPL Data'!M:M,MATCH(A:A,'2023 IMD UPL Data'!B:B,0))),0)</f>
        <v>286319.83168674697</v>
      </c>
      <c r="M89" s="45">
        <f>IFERROR((IF(F89="IMD",0,INDEX('2023 OP UPL Data'!M:M,MATCH(A:A,'2023 OP UPL Data'!B:B,0)))),0)</f>
        <v>847553.31120481947</v>
      </c>
      <c r="N89" s="45">
        <f t="shared" si="36"/>
        <v>1133873.1428915665</v>
      </c>
      <c r="O89" s="45">
        <v>1164382.6464874879</v>
      </c>
      <c r="P89" s="45">
        <v>3026097.3999141799</v>
      </c>
      <c r="Q89" s="45">
        <f t="shared" si="37"/>
        <v>4190480.0464016679</v>
      </c>
      <c r="R89" s="45" t="str">
        <f t="shared" si="38"/>
        <v>Yes</v>
      </c>
      <c r="S89" s="46" t="str">
        <f t="shared" si="38"/>
        <v>Yes</v>
      </c>
      <c r="T89" s="47">
        <f>ROUND(INDEX(Summary!H:H,MATCH(H:H,Summary!A:A,0)),2)</f>
        <v>1.2</v>
      </c>
      <c r="U89" s="47">
        <f>ROUND(INDEX(Summary!I:I,MATCH(H:H,Summary!A:A,0)),2)</f>
        <v>1.08</v>
      </c>
      <c r="V89" s="85">
        <f t="shared" si="39"/>
        <v>377301.99347484048</v>
      </c>
      <c r="W89" s="85">
        <f t="shared" si="39"/>
        <v>1444280.1930059635</v>
      </c>
      <c r="X89" s="45">
        <f t="shared" si="40"/>
        <v>1821582.1864808039</v>
      </c>
      <c r="Y89" s="45" t="s">
        <v>3223</v>
      </c>
      <c r="Z89" s="45" t="str">
        <f t="shared" si="41"/>
        <v>Yes</v>
      </c>
      <c r="AA89" s="45" t="str">
        <f t="shared" si="41"/>
        <v>Yes</v>
      </c>
      <c r="AB89" s="45" t="str">
        <f t="shared" si="42"/>
        <v>Yes</v>
      </c>
      <c r="AC89" s="86">
        <f t="shared" si="55"/>
        <v>1.74</v>
      </c>
      <c r="AD89" s="86">
        <f t="shared" si="56"/>
        <v>0.82</v>
      </c>
      <c r="AE89" s="45">
        <f t="shared" si="57"/>
        <v>547087.89053851867</v>
      </c>
      <c r="AF89" s="45">
        <f t="shared" si="57"/>
        <v>1096583.1095045276</v>
      </c>
      <c r="AG89" s="45">
        <f t="shared" si="43"/>
        <v>1643671.0000430462</v>
      </c>
      <c r="AH89" s="47">
        <f>IF(Y89="No",0,IFERROR(ROUNDDOWN(INDEX('90% of ACR'!K:K,MATCH(H:H,'90% of ACR'!A:A,0))*IF(I89&gt;0,IF(O89&gt;0,$R$4*MAX(O89-V89,0),0),0)/I89,2),0))</f>
        <v>1.68</v>
      </c>
      <c r="AI89" s="86">
        <f>IF(Y89="No",0,IFERROR(ROUNDDOWN(INDEX('90% of ACR'!R:R,MATCH(H:H,'90% of ACR'!A:A,0))*IF(J89&gt;0,IF(P89&gt;0,$R$4*MAX(P89-W89,0),0),0)/J89,2),0))</f>
        <v>0.82</v>
      </c>
      <c r="AJ89" s="45">
        <f t="shared" si="44"/>
        <v>528222.7908647767</v>
      </c>
      <c r="AK89" s="45">
        <f t="shared" si="44"/>
        <v>1096583.1095045276</v>
      </c>
      <c r="AL89" s="47">
        <f t="shared" si="45"/>
        <v>2.88</v>
      </c>
      <c r="AM89" s="47">
        <f t="shared" si="45"/>
        <v>1.9</v>
      </c>
      <c r="AN89" s="87">
        <f>IFERROR(INDEX(FeeCalc!P:P,MATCH(C89,FeeCalc!F:F,0)),0)</f>
        <v>3446388.0868501081</v>
      </c>
      <c r="AO89" s="87">
        <f>IFERROR(INDEX(FeeCalc!S:S,MATCH(C89,FeeCalc!F:F,0)),0)</f>
        <v>215044.4923593594</v>
      </c>
      <c r="AP89" s="87">
        <f t="shared" si="46"/>
        <v>3661432.5792094674</v>
      </c>
      <c r="AQ89" s="72">
        <f t="shared" si="47"/>
        <v>1553663.009201112</v>
      </c>
      <c r="AR89" s="72">
        <f t="shared" si="48"/>
        <v>776831.50460055599</v>
      </c>
      <c r="AS89" s="72">
        <f t="shared" si="49"/>
        <v>776831.50460055599</v>
      </c>
      <c r="AT89" s="72">
        <f>IFERROR(IFERROR(INDEX('2023 IP UPL Data'!L:L,MATCH(A:A,'2023 IP UPL Data'!B:B,0)),INDEX('2023 IMD UPL Data'!I:I,MATCH(A:A,'2023 IMD UPL Data'!B:B,0))),0)</f>
        <v>206163.57831325301</v>
      </c>
      <c r="AU89" s="72">
        <f>IFERROR(IF(F87="IMD",0,INDEX('2023 OP UPL Data'!J:J,MATCH(A:A,'2023 OP UPL Data'!B:B,0))),0)</f>
        <v>696441.19879518053</v>
      </c>
      <c r="AV89" s="45">
        <f t="shared" si="50"/>
        <v>902604.77710843354</v>
      </c>
      <c r="AW89" s="72">
        <f>IFERROR(IFERROR(INDEX('2023 IP UPL Data'!M:M,MATCH(A:A,'2023 IP UPL Data'!B:B,0)),INDEX('2023 IMD UPL Data'!K:K,MATCH(A:A,'2023 IMD UPL Data'!B:B,0))),0)</f>
        <v>492483.41</v>
      </c>
      <c r="AX89" s="72">
        <f>IFERROR(IF(F87="IMD",0,INDEX('2023 OP UPL Data'!L:L,MATCH(A:A,'2023 OP UPL Data'!B:B,0))),0)</f>
        <v>1543994.51</v>
      </c>
      <c r="AY89" s="45">
        <f t="shared" si="51"/>
        <v>2036477.92</v>
      </c>
      <c r="AZ89" s="72">
        <v>1370546.2248007411</v>
      </c>
      <c r="BA89" s="72">
        <v>3722538.5987093602</v>
      </c>
      <c r="BB89" s="72">
        <f t="shared" si="52"/>
        <v>993244.23132590065</v>
      </c>
      <c r="BC89" s="72">
        <f t="shared" si="52"/>
        <v>2278258.4057033965</v>
      </c>
      <c r="BD89" s="72">
        <f t="shared" si="53"/>
        <v>3271502.6370292972</v>
      </c>
      <c r="BE89" s="94">
        <f t="shared" si="54"/>
        <v>878062.81480074115</v>
      </c>
      <c r="BF89" s="94">
        <f t="shared" si="54"/>
        <v>2178544.08870936</v>
      </c>
      <c r="BG89" s="73">
        <f>IFERROR(INDEX('2023 IP UPL Data'!K:K,MATCH(A89,'2023 IP UPL Data'!B:B,0)),0)</f>
        <v>0</v>
      </c>
    </row>
    <row r="90" spans="1:59">
      <c r="A90" s="124" t="s">
        <v>478</v>
      </c>
      <c r="B90" s="149" t="s">
        <v>478</v>
      </c>
      <c r="C90" s="31" t="s">
        <v>479</v>
      </c>
      <c r="D90" s="181" t="s">
        <v>479</v>
      </c>
      <c r="E90" s="144" t="s">
        <v>3466</v>
      </c>
      <c r="F90" s="120" t="s">
        <v>2718</v>
      </c>
      <c r="G90" s="120" t="s">
        <v>223</v>
      </c>
      <c r="H90" s="43" t="str">
        <f t="shared" si="34"/>
        <v>Urban Dallas</v>
      </c>
      <c r="I90" s="45">
        <f>INDEX(FeeCalc!M:M,MATCH(C:C,FeeCalc!F:F,0))</f>
        <v>4726622.4812391996</v>
      </c>
      <c r="J90" s="45">
        <f>INDEX(FeeCalc!L:L,MATCH(C:C,FeeCalc!F:F,0))</f>
        <v>1262000.3675093492</v>
      </c>
      <c r="K90" s="45">
        <f t="shared" si="35"/>
        <v>5988622.8487485489</v>
      </c>
      <c r="L90" s="45">
        <f>IFERROR(IFERROR(INDEX('2023 IP UPL Data'!N:N,MATCH(A:A,'2023 IP UPL Data'!B:B,0)),INDEX('2023 IMD UPL Data'!M:M,MATCH(A:A,'2023 IMD UPL Data'!B:B,0))),0)</f>
        <v>4923093.2271084338</v>
      </c>
      <c r="M90" s="45">
        <f>IFERROR((IF(F90="IMD",0,INDEX('2023 OP UPL Data'!M:M,MATCH(A:A,'2023 OP UPL Data'!B:B,0)))),0)</f>
        <v>2190441.2453012047</v>
      </c>
      <c r="N90" s="45">
        <f t="shared" si="36"/>
        <v>7113534.4724096386</v>
      </c>
      <c r="O90" s="45">
        <v>23944749.626854476</v>
      </c>
      <c r="P90" s="45">
        <v>3984774.4169281879</v>
      </c>
      <c r="Q90" s="45">
        <f t="shared" si="37"/>
        <v>27929524.043782663</v>
      </c>
      <c r="R90" s="45" t="str">
        <f t="shared" si="38"/>
        <v>Yes</v>
      </c>
      <c r="S90" s="46" t="str">
        <f t="shared" si="38"/>
        <v>Yes</v>
      </c>
      <c r="T90" s="47">
        <f>ROUND(INDEX(Summary!H:H,MATCH(H:H,Summary!A:A,0)),2)</f>
        <v>1.2</v>
      </c>
      <c r="U90" s="47">
        <f>ROUND(INDEX(Summary!I:I,MATCH(H:H,Summary!A:A,0)),2)</f>
        <v>1.08</v>
      </c>
      <c r="V90" s="85">
        <f t="shared" si="39"/>
        <v>5671946.9774870398</v>
      </c>
      <c r="W90" s="85">
        <f t="shared" si="39"/>
        <v>1362960.3969100972</v>
      </c>
      <c r="X90" s="45">
        <f t="shared" si="40"/>
        <v>7034907.3743971372</v>
      </c>
      <c r="Y90" s="45" t="s">
        <v>3223</v>
      </c>
      <c r="Z90" s="45" t="str">
        <f t="shared" si="41"/>
        <v>Yes</v>
      </c>
      <c r="AA90" s="45" t="str">
        <f t="shared" si="41"/>
        <v>Yes</v>
      </c>
      <c r="AB90" s="45" t="str">
        <f t="shared" si="42"/>
        <v>Yes</v>
      </c>
      <c r="AC90" s="86">
        <f t="shared" si="55"/>
        <v>2.69</v>
      </c>
      <c r="AD90" s="86">
        <f t="shared" si="56"/>
        <v>1.45</v>
      </c>
      <c r="AE90" s="45">
        <f t="shared" si="57"/>
        <v>12714614.474533446</v>
      </c>
      <c r="AF90" s="45">
        <f t="shared" si="57"/>
        <v>1829900.5328885564</v>
      </c>
      <c r="AG90" s="45">
        <f t="shared" si="43"/>
        <v>14544515.007422002</v>
      </c>
      <c r="AH90" s="47">
        <f>IF(Y90="No",0,IFERROR(ROUNDDOWN(INDEX('90% of ACR'!K:K,MATCH(H:H,'90% of ACR'!A:A,0))*IF(I90&gt;0,IF(O90&gt;0,$R$4*MAX(O90-V90,0),0),0)/I90,2),0))</f>
        <v>2.6</v>
      </c>
      <c r="AI90" s="86">
        <f>IF(Y90="No",0,IFERROR(ROUNDDOWN(INDEX('90% of ACR'!R:R,MATCH(H:H,'90% of ACR'!A:A,0))*IF(J90&gt;0,IF(P90&gt;0,$R$4*MAX(P90-W90,0),0),0)/J90,2),0))</f>
        <v>1.44</v>
      </c>
      <c r="AJ90" s="45">
        <f t="shared" si="44"/>
        <v>12289218.451221919</v>
      </c>
      <c r="AK90" s="45">
        <f t="shared" si="44"/>
        <v>1817280.529213463</v>
      </c>
      <c r="AL90" s="47">
        <f t="shared" si="45"/>
        <v>3.8</v>
      </c>
      <c r="AM90" s="47">
        <f t="shared" si="45"/>
        <v>2.52</v>
      </c>
      <c r="AN90" s="87">
        <f>IFERROR(INDEX(FeeCalc!P:P,MATCH(C90,FeeCalc!F:F,0)),0)</f>
        <v>21141406.354832519</v>
      </c>
      <c r="AO90" s="87">
        <f>IFERROR(INDEX(FeeCalc!S:S,MATCH(C90,FeeCalc!F:F,0)),0)</f>
        <v>1302964.9141551931</v>
      </c>
      <c r="AP90" s="87">
        <f t="shared" si="46"/>
        <v>22444371.268987712</v>
      </c>
      <c r="AQ90" s="72">
        <f t="shared" si="47"/>
        <v>9523864.9493120946</v>
      </c>
      <c r="AR90" s="72">
        <f t="shared" si="48"/>
        <v>4761932.4746560473</v>
      </c>
      <c r="AS90" s="72">
        <f t="shared" si="49"/>
        <v>4761932.4746560473</v>
      </c>
      <c r="AT90" s="72">
        <f>IFERROR(IFERROR(INDEX('2023 IP UPL Data'!L:L,MATCH(A:A,'2023 IP UPL Data'!B:B,0)),INDEX('2023 IMD UPL Data'!I:I,MATCH(A:A,'2023 IMD UPL Data'!B:B,0))),0)</f>
        <v>5926510.2228915654</v>
      </c>
      <c r="AU90" s="72">
        <f>IFERROR(IF(F88="IMD",0,INDEX('2023 OP UPL Data'!J:J,MATCH(A:A,'2023 OP UPL Data'!B:B,0))),0)</f>
        <v>861415.67469879519</v>
      </c>
      <c r="AV90" s="45">
        <f t="shared" si="50"/>
        <v>6787925.8975903606</v>
      </c>
      <c r="AW90" s="72">
        <f>IFERROR(IFERROR(INDEX('2023 IP UPL Data'!M:M,MATCH(A:A,'2023 IP UPL Data'!B:B,0)),INDEX('2023 IMD UPL Data'!K:K,MATCH(A:A,'2023 IMD UPL Data'!B:B,0))),0)</f>
        <v>10849603.449999999</v>
      </c>
      <c r="AX90" s="72">
        <f>IFERROR(IF(F88="IMD",0,INDEX('2023 OP UPL Data'!L:L,MATCH(A:A,'2023 OP UPL Data'!B:B,0))),0)</f>
        <v>3051856.92</v>
      </c>
      <c r="AY90" s="45">
        <f t="shared" si="51"/>
        <v>13901460.369999999</v>
      </c>
      <c r="AZ90" s="72">
        <v>29871259.849746041</v>
      </c>
      <c r="BA90" s="72">
        <v>4846190.0916269831</v>
      </c>
      <c r="BB90" s="72">
        <f t="shared" si="52"/>
        <v>24199312.872259002</v>
      </c>
      <c r="BC90" s="72">
        <f t="shared" si="52"/>
        <v>3483229.6947168857</v>
      </c>
      <c r="BD90" s="72">
        <f t="shared" si="53"/>
        <v>27682542.566975884</v>
      </c>
      <c r="BE90" s="94">
        <f t="shared" si="54"/>
        <v>19021656.399746042</v>
      </c>
      <c r="BF90" s="94">
        <f t="shared" si="54"/>
        <v>1794333.1716269832</v>
      </c>
      <c r="BG90" s="73">
        <f>IFERROR(INDEX('2023 IP UPL Data'!K:K,MATCH(A90,'2023 IP UPL Data'!B:B,0)),0)</f>
        <v>0</v>
      </c>
    </row>
    <row r="91" spans="1:59">
      <c r="A91" s="124" t="s">
        <v>428</v>
      </c>
      <c r="B91" s="149" t="s">
        <v>428</v>
      </c>
      <c r="C91" s="31" t="s">
        <v>429</v>
      </c>
      <c r="D91" s="181" t="s">
        <v>429</v>
      </c>
      <c r="E91" s="144" t="s">
        <v>3467</v>
      </c>
      <c r="F91" s="120" t="s">
        <v>2718</v>
      </c>
      <c r="G91" s="120" t="s">
        <v>223</v>
      </c>
      <c r="H91" s="43" t="str">
        <f t="shared" si="34"/>
        <v>Urban Dallas</v>
      </c>
      <c r="I91" s="45">
        <f>INDEX(FeeCalc!M:M,MATCH(C:C,FeeCalc!F:F,0))</f>
        <v>1045886.2666701997</v>
      </c>
      <c r="J91" s="45">
        <f>INDEX(FeeCalc!L:L,MATCH(C:C,FeeCalc!F:F,0))</f>
        <v>658115.20747582172</v>
      </c>
      <c r="K91" s="45">
        <f t="shared" si="35"/>
        <v>1704001.4741460215</v>
      </c>
      <c r="L91" s="45">
        <f>IFERROR(IFERROR(INDEX('2023 IP UPL Data'!N:N,MATCH(A:A,'2023 IP UPL Data'!B:B,0)),INDEX('2023 IMD UPL Data'!M:M,MATCH(A:A,'2023 IMD UPL Data'!B:B,0))),0)</f>
        <v>1301738.198313253</v>
      </c>
      <c r="M91" s="45">
        <f>IFERROR((IF(F91="IMD",0,INDEX('2023 OP UPL Data'!M:M,MATCH(A:A,'2023 OP UPL Data'!B:B,0)))),0)</f>
        <v>969364.69987951813</v>
      </c>
      <c r="N91" s="45">
        <f t="shared" si="36"/>
        <v>2271102.8981927712</v>
      </c>
      <c r="O91" s="45">
        <v>3315948.184997824</v>
      </c>
      <c r="P91" s="45">
        <v>2183672.9459662321</v>
      </c>
      <c r="Q91" s="45">
        <f t="shared" si="37"/>
        <v>5499621.1309640557</v>
      </c>
      <c r="R91" s="45" t="str">
        <f t="shared" si="38"/>
        <v>Yes</v>
      </c>
      <c r="S91" s="46" t="str">
        <f t="shared" si="38"/>
        <v>Yes</v>
      </c>
      <c r="T91" s="47">
        <f>ROUND(INDEX(Summary!H:H,MATCH(H:H,Summary!A:A,0)),2)</f>
        <v>1.2</v>
      </c>
      <c r="U91" s="47">
        <f>ROUND(INDEX(Summary!I:I,MATCH(H:H,Summary!A:A,0)),2)</f>
        <v>1.08</v>
      </c>
      <c r="V91" s="85">
        <f t="shared" si="39"/>
        <v>1255063.5200042396</v>
      </c>
      <c r="W91" s="85">
        <f t="shared" si="39"/>
        <v>710764.42407388752</v>
      </c>
      <c r="X91" s="45">
        <f t="shared" si="40"/>
        <v>1965827.9440781272</v>
      </c>
      <c r="Y91" s="45" t="s">
        <v>3223</v>
      </c>
      <c r="Z91" s="45" t="str">
        <f t="shared" si="41"/>
        <v>Yes</v>
      </c>
      <c r="AA91" s="45" t="str">
        <f t="shared" si="41"/>
        <v>Yes</v>
      </c>
      <c r="AB91" s="45" t="str">
        <f t="shared" si="42"/>
        <v>Yes</v>
      </c>
      <c r="AC91" s="86">
        <f t="shared" si="55"/>
        <v>1.37</v>
      </c>
      <c r="AD91" s="86">
        <f t="shared" si="56"/>
        <v>1.56</v>
      </c>
      <c r="AE91" s="45">
        <f t="shared" si="57"/>
        <v>1432864.1853381738</v>
      </c>
      <c r="AF91" s="45">
        <f t="shared" si="57"/>
        <v>1026659.7236622819</v>
      </c>
      <c r="AG91" s="45">
        <f t="shared" si="43"/>
        <v>2459523.9090004554</v>
      </c>
      <c r="AH91" s="47">
        <f>IF(Y91="No",0,IFERROR(ROUNDDOWN(INDEX('90% of ACR'!K:K,MATCH(H:H,'90% of ACR'!A:A,0))*IF(I91&gt;0,IF(O91&gt;0,$R$4*MAX(O91-V91,0),0),0)/I91,2),0))</f>
        <v>1.32</v>
      </c>
      <c r="AI91" s="86">
        <f>IF(Y91="No",0,IFERROR(ROUNDDOWN(INDEX('90% of ACR'!R:R,MATCH(H:H,'90% of ACR'!A:A,0))*IF(J91&gt;0,IF(P91&gt;0,$R$4*MAX(P91-W91,0),0),0)/J91,2),0))</f>
        <v>1.55</v>
      </c>
      <c r="AJ91" s="45">
        <f t="shared" si="44"/>
        <v>1380569.8720046636</v>
      </c>
      <c r="AK91" s="45">
        <f t="shared" si="44"/>
        <v>1020078.5715875237</v>
      </c>
      <c r="AL91" s="47">
        <f t="shared" si="45"/>
        <v>2.52</v>
      </c>
      <c r="AM91" s="47">
        <f t="shared" si="45"/>
        <v>2.63</v>
      </c>
      <c r="AN91" s="87">
        <f>IFERROR(INDEX(FeeCalc!P:P,MATCH(C91,FeeCalc!F:F,0)),0)</f>
        <v>4366476.3876703139</v>
      </c>
      <c r="AO91" s="87">
        <f>IFERROR(INDEX(FeeCalc!S:S,MATCH(C91,FeeCalc!F:F,0)),0)</f>
        <v>270325.60452449357</v>
      </c>
      <c r="AP91" s="87">
        <f t="shared" si="46"/>
        <v>4636801.9921948072</v>
      </c>
      <c r="AQ91" s="72">
        <f t="shared" si="47"/>
        <v>1967543.4629520071</v>
      </c>
      <c r="AR91" s="72">
        <f t="shared" si="48"/>
        <v>983771.73147600354</v>
      </c>
      <c r="AS91" s="72">
        <f t="shared" si="49"/>
        <v>983771.73147600354</v>
      </c>
      <c r="AT91" s="72">
        <f>IFERROR(IFERROR(INDEX('2023 IP UPL Data'!L:L,MATCH(A:A,'2023 IP UPL Data'!B:B,0)),INDEX('2023 IMD UPL Data'!I:I,MATCH(A:A,'2023 IMD UPL Data'!B:B,0))),0)</f>
        <v>930194.92168674711</v>
      </c>
      <c r="AU91" s="72">
        <f>IFERROR(IF(F89="IMD",0,INDEX('2023 OP UPL Data'!J:J,MATCH(A:A,'2023 OP UPL Data'!B:B,0))),0)</f>
        <v>438747.03012048185</v>
      </c>
      <c r="AV91" s="45">
        <f t="shared" si="50"/>
        <v>1368941.9518072288</v>
      </c>
      <c r="AW91" s="72">
        <f>IFERROR(IFERROR(INDEX('2023 IP UPL Data'!M:M,MATCH(A:A,'2023 IP UPL Data'!B:B,0)),INDEX('2023 IMD UPL Data'!K:K,MATCH(A:A,'2023 IMD UPL Data'!B:B,0))),0)</f>
        <v>2231933.12</v>
      </c>
      <c r="AX91" s="72">
        <f>IFERROR(IF(F89="IMD",0,INDEX('2023 OP UPL Data'!L:L,MATCH(A:A,'2023 OP UPL Data'!B:B,0))),0)</f>
        <v>1408111.73</v>
      </c>
      <c r="AY91" s="45">
        <f t="shared" si="51"/>
        <v>3640044.85</v>
      </c>
      <c r="AZ91" s="72">
        <v>4246143.1066845711</v>
      </c>
      <c r="BA91" s="72">
        <v>2622419.9760867138</v>
      </c>
      <c r="BB91" s="72">
        <f t="shared" si="52"/>
        <v>2991079.5866803313</v>
      </c>
      <c r="BC91" s="72">
        <f t="shared" si="52"/>
        <v>1911655.5520128263</v>
      </c>
      <c r="BD91" s="72">
        <f t="shared" si="53"/>
        <v>4902735.1386931576</v>
      </c>
      <c r="BE91" s="94">
        <f t="shared" si="54"/>
        <v>2014209.986684571</v>
      </c>
      <c r="BF91" s="94">
        <f t="shared" si="54"/>
        <v>1214308.2460867139</v>
      </c>
      <c r="BG91" s="73">
        <f>IFERROR(INDEX('2023 IP UPL Data'!K:K,MATCH(A91,'2023 IP UPL Data'!B:B,0)),0)</f>
        <v>0</v>
      </c>
    </row>
    <row r="92" spans="1:59">
      <c r="A92" s="124" t="s">
        <v>1089</v>
      </c>
      <c r="B92" s="149" t="s">
        <v>1089</v>
      </c>
      <c r="C92" s="31" t="s">
        <v>1090</v>
      </c>
      <c r="D92" s="181" t="s">
        <v>1090</v>
      </c>
      <c r="E92" s="144" t="s">
        <v>3468</v>
      </c>
      <c r="F92" s="120" t="s">
        <v>2718</v>
      </c>
      <c r="G92" s="120" t="s">
        <v>1366</v>
      </c>
      <c r="H92" s="43" t="str">
        <f t="shared" si="34"/>
        <v>Urban Tarrant</v>
      </c>
      <c r="I92" s="45">
        <f>INDEX(FeeCalc!M:M,MATCH(C:C,FeeCalc!F:F,0))</f>
        <v>6961615.4644114105</v>
      </c>
      <c r="J92" s="45">
        <f>INDEX(FeeCalc!L:L,MATCH(C:C,FeeCalc!F:F,0))</f>
        <v>2327081.8654549313</v>
      </c>
      <c r="K92" s="45">
        <f t="shared" si="35"/>
        <v>9288697.3298663422</v>
      </c>
      <c r="L92" s="45">
        <f>IFERROR(IFERROR(INDEX('2023 IP UPL Data'!N:N,MATCH(A:A,'2023 IP UPL Data'!B:B,0)),INDEX('2023 IMD UPL Data'!M:M,MATCH(A:A,'2023 IMD UPL Data'!B:B,0))),0)</f>
        <v>5379406.9199999999</v>
      </c>
      <c r="M92" s="45">
        <f>IFERROR((IF(F92="IMD",0,INDEX('2023 OP UPL Data'!M:M,MATCH(A:A,'2023 OP UPL Data'!B:B,0)))),0)</f>
        <v>4441035.6199999992</v>
      </c>
      <c r="N92" s="45">
        <f t="shared" si="36"/>
        <v>9820442.5399999991</v>
      </c>
      <c r="O92" s="45">
        <v>21306597.272784758</v>
      </c>
      <c r="P92" s="45">
        <v>7923875.4795251712</v>
      </c>
      <c r="Q92" s="45">
        <f t="shared" si="37"/>
        <v>29230472.75230993</v>
      </c>
      <c r="R92" s="45" t="str">
        <f t="shared" si="38"/>
        <v>Yes</v>
      </c>
      <c r="S92" s="46" t="str">
        <f t="shared" si="38"/>
        <v>Yes</v>
      </c>
      <c r="T92" s="47">
        <f>ROUND(INDEX(Summary!H:H,MATCH(H:H,Summary!A:A,0)),2)</f>
        <v>1.68</v>
      </c>
      <c r="U92" s="47">
        <f>ROUND(INDEX(Summary!I:I,MATCH(H:H,Summary!A:A,0)),2)</f>
        <v>1.42</v>
      </c>
      <c r="V92" s="85">
        <f t="shared" si="39"/>
        <v>11695513.980211169</v>
      </c>
      <c r="W92" s="85">
        <f t="shared" si="39"/>
        <v>3304456.2489460022</v>
      </c>
      <c r="X92" s="45">
        <f t="shared" si="40"/>
        <v>14999970.22915717</v>
      </c>
      <c r="Y92" s="45" t="s">
        <v>3223</v>
      </c>
      <c r="Z92" s="45" t="str">
        <f t="shared" si="41"/>
        <v>Yes</v>
      </c>
      <c r="AA92" s="45" t="str">
        <f t="shared" si="41"/>
        <v>Yes</v>
      </c>
      <c r="AB92" s="45" t="str">
        <f t="shared" si="42"/>
        <v>Yes</v>
      </c>
      <c r="AC92" s="86">
        <f t="shared" si="55"/>
        <v>0.96</v>
      </c>
      <c r="AD92" s="86">
        <f t="shared" si="56"/>
        <v>1.38</v>
      </c>
      <c r="AE92" s="45">
        <f t="shared" si="57"/>
        <v>6683150.8458349537</v>
      </c>
      <c r="AF92" s="45">
        <f t="shared" si="57"/>
        <v>3211372.974327805</v>
      </c>
      <c r="AG92" s="45">
        <f t="shared" si="43"/>
        <v>9894523.8201627582</v>
      </c>
      <c r="AH92" s="47">
        <f>IF(Y92="No",0,IFERROR(ROUNDDOWN(INDEX('90% of ACR'!K:K,MATCH(H:H,'90% of ACR'!A:A,0))*IF(I92&gt;0,IF(O92&gt;0,$R$4*MAX(O92-V92,0),0),0)/I92,2),0))</f>
        <v>0.96</v>
      </c>
      <c r="AI92" s="86">
        <f>IF(Y92="No",0,IFERROR(ROUNDDOWN(INDEX('90% of ACR'!R:R,MATCH(H:H,'90% of ACR'!A:A,0))*IF(J92&gt;0,IF(P92&gt;0,$R$4*MAX(P92-W92,0),0),0)/J92,2),0))</f>
        <v>1.1200000000000001</v>
      </c>
      <c r="AJ92" s="45">
        <f t="shared" si="44"/>
        <v>6683150.8458349537</v>
      </c>
      <c r="AK92" s="45">
        <f t="shared" si="44"/>
        <v>2606331.6893095234</v>
      </c>
      <c r="AL92" s="47">
        <f t="shared" si="45"/>
        <v>2.6399999999999997</v>
      </c>
      <c r="AM92" s="47">
        <f t="shared" si="45"/>
        <v>2.54</v>
      </c>
      <c r="AN92" s="87">
        <f>IFERROR(INDEX(FeeCalc!P:P,MATCH(C92,FeeCalc!F:F,0)),0)</f>
        <v>24289452.764301647</v>
      </c>
      <c r="AO92" s="87">
        <f>IFERROR(INDEX(FeeCalc!S:S,MATCH(C92,FeeCalc!F:F,0)),0)</f>
        <v>1501801.574458224</v>
      </c>
      <c r="AP92" s="87">
        <f t="shared" si="46"/>
        <v>25791254.338759869</v>
      </c>
      <c r="AQ92" s="72">
        <f t="shared" si="47"/>
        <v>10944054.536074653</v>
      </c>
      <c r="AR92" s="72">
        <f t="shared" si="48"/>
        <v>5472027.2680373266</v>
      </c>
      <c r="AS92" s="72">
        <f t="shared" si="49"/>
        <v>5472027.2680373266</v>
      </c>
      <c r="AT92" s="72">
        <f>IFERROR(IFERROR(INDEX('2023 IP UPL Data'!L:L,MATCH(A:A,'2023 IP UPL Data'!B:B,0)),INDEX('2023 IMD UPL Data'!I:I,MATCH(A:A,'2023 IMD UPL Data'!B:B,0))),0)</f>
        <v>7626403.8000000007</v>
      </c>
      <c r="AU92" s="72">
        <f>IFERROR(IF(F90="IMD",0,INDEX('2023 OP UPL Data'!J:J,MATCH(A:A,'2023 OP UPL Data'!B:B,0))),0)</f>
        <v>1561957.85</v>
      </c>
      <c r="AV92" s="45">
        <f t="shared" si="50"/>
        <v>9188361.6500000004</v>
      </c>
      <c r="AW92" s="72">
        <f>IFERROR(IFERROR(INDEX('2023 IP UPL Data'!M:M,MATCH(A:A,'2023 IP UPL Data'!B:B,0)),INDEX('2023 IMD UPL Data'!K:K,MATCH(A:A,'2023 IMD UPL Data'!B:B,0))),0)</f>
        <v>13005810.720000001</v>
      </c>
      <c r="AX92" s="72">
        <f>IFERROR(IF(F90="IMD",0,INDEX('2023 OP UPL Data'!L:L,MATCH(A:A,'2023 OP UPL Data'!B:B,0))),0)</f>
        <v>6002993.4699999997</v>
      </c>
      <c r="AY92" s="45">
        <f t="shared" si="51"/>
        <v>19008804.190000001</v>
      </c>
      <c r="AZ92" s="72">
        <v>28933001.072784759</v>
      </c>
      <c r="BA92" s="72">
        <v>9485833.3295251708</v>
      </c>
      <c r="BB92" s="72">
        <f t="shared" si="52"/>
        <v>17237487.092573591</v>
      </c>
      <c r="BC92" s="72">
        <f t="shared" si="52"/>
        <v>6181377.0805791691</v>
      </c>
      <c r="BD92" s="72">
        <f t="shared" si="53"/>
        <v>23418864.17315276</v>
      </c>
      <c r="BE92" s="94">
        <f t="shared" si="54"/>
        <v>15927190.352784758</v>
      </c>
      <c r="BF92" s="94">
        <f t="shared" si="54"/>
        <v>3482839.8595251711</v>
      </c>
      <c r="BG92" s="73">
        <f>IFERROR(INDEX('2023 IP UPL Data'!K:K,MATCH(A92,'2023 IP UPL Data'!B:B,0)),0)</f>
        <v>0</v>
      </c>
    </row>
    <row r="93" spans="1:59">
      <c r="A93" s="124" t="s">
        <v>1116</v>
      </c>
      <c r="B93" s="149" t="s">
        <v>1116</v>
      </c>
      <c r="C93" s="31" t="s">
        <v>1117</v>
      </c>
      <c r="D93" s="181" t="s">
        <v>1117</v>
      </c>
      <c r="E93" s="144" t="s">
        <v>3469</v>
      </c>
      <c r="F93" s="120" t="s">
        <v>2718</v>
      </c>
      <c r="G93" s="120" t="s">
        <v>1366</v>
      </c>
      <c r="H93" s="43" t="str">
        <f t="shared" si="34"/>
        <v>Urban Tarrant</v>
      </c>
      <c r="I93" s="45">
        <f>INDEX(FeeCalc!M:M,MATCH(C:C,FeeCalc!F:F,0))</f>
        <v>4571238.3742561685</v>
      </c>
      <c r="J93" s="45">
        <f>INDEX(FeeCalc!L:L,MATCH(C:C,FeeCalc!F:F,0))</f>
        <v>1208321.4764480344</v>
      </c>
      <c r="K93" s="45">
        <f t="shared" si="35"/>
        <v>5779559.8507042024</v>
      </c>
      <c r="L93" s="45">
        <f>IFERROR(IFERROR(INDEX('2023 IP UPL Data'!N:N,MATCH(A:A,'2023 IP UPL Data'!B:B,0)),INDEX('2023 IMD UPL Data'!M:M,MATCH(A:A,'2023 IMD UPL Data'!B:B,0))),0)</f>
        <v>3713044.6037500007</v>
      </c>
      <c r="M93" s="45">
        <f>IFERROR((IF(F93="IMD",0,INDEX('2023 OP UPL Data'!M:M,MATCH(A:A,'2023 OP UPL Data'!B:B,0)))),0)</f>
        <v>2634857.0137499999</v>
      </c>
      <c r="N93" s="45">
        <f t="shared" si="36"/>
        <v>6347901.6175000006</v>
      </c>
      <c r="O93" s="45">
        <v>15714463.312145799</v>
      </c>
      <c r="P93" s="45">
        <v>5521997.4091368653</v>
      </c>
      <c r="Q93" s="45">
        <f t="shared" si="37"/>
        <v>21236460.721282665</v>
      </c>
      <c r="R93" s="45" t="str">
        <f t="shared" si="38"/>
        <v>Yes</v>
      </c>
      <c r="S93" s="46" t="str">
        <f t="shared" si="38"/>
        <v>Yes</v>
      </c>
      <c r="T93" s="47">
        <f>ROUND(INDEX(Summary!H:H,MATCH(H:H,Summary!A:A,0)),2)</f>
        <v>1.68</v>
      </c>
      <c r="U93" s="47">
        <f>ROUND(INDEX(Summary!I:I,MATCH(H:H,Summary!A:A,0)),2)</f>
        <v>1.42</v>
      </c>
      <c r="V93" s="85">
        <f t="shared" si="39"/>
        <v>7679680.4687503632</v>
      </c>
      <c r="W93" s="85">
        <f t="shared" si="39"/>
        <v>1715816.4965562087</v>
      </c>
      <c r="X93" s="45">
        <f t="shared" si="40"/>
        <v>9395496.9653065726</v>
      </c>
      <c r="Y93" s="45" t="s">
        <v>3223</v>
      </c>
      <c r="Z93" s="45" t="str">
        <f t="shared" si="41"/>
        <v>Yes</v>
      </c>
      <c r="AA93" s="45" t="str">
        <f t="shared" si="41"/>
        <v>Yes</v>
      </c>
      <c r="AB93" s="45" t="str">
        <f t="shared" si="42"/>
        <v>Yes</v>
      </c>
      <c r="AC93" s="86">
        <f t="shared" si="55"/>
        <v>1.22</v>
      </c>
      <c r="AD93" s="86">
        <f t="shared" si="56"/>
        <v>2.19</v>
      </c>
      <c r="AE93" s="45">
        <f t="shared" si="57"/>
        <v>5576910.8165925257</v>
      </c>
      <c r="AF93" s="45">
        <f t="shared" si="57"/>
        <v>2646224.0334211951</v>
      </c>
      <c r="AG93" s="45">
        <f t="shared" si="43"/>
        <v>8223134.8500137208</v>
      </c>
      <c r="AH93" s="47">
        <f>IF(Y93="No",0,IFERROR(ROUNDDOWN(INDEX('90% of ACR'!K:K,MATCH(H:H,'90% of ACR'!A:A,0))*IF(I93&gt;0,IF(O93&gt;0,$R$4*MAX(O93-V93,0),0),0)/I93,2),0))</f>
        <v>1.22</v>
      </c>
      <c r="AI93" s="86">
        <f>IF(Y93="No",0,IFERROR(ROUNDDOWN(INDEX('90% of ACR'!R:R,MATCH(H:H,'90% of ACR'!A:A,0))*IF(J93&gt;0,IF(P93&gt;0,$R$4*MAX(P93-W93,0),0),0)/J93,2),0))</f>
        <v>1.78</v>
      </c>
      <c r="AJ93" s="45">
        <f t="shared" si="44"/>
        <v>5576910.8165925257</v>
      </c>
      <c r="AK93" s="45">
        <f t="shared" si="44"/>
        <v>2150812.2280775011</v>
      </c>
      <c r="AL93" s="47">
        <f t="shared" si="45"/>
        <v>2.9</v>
      </c>
      <c r="AM93" s="47">
        <f t="shared" si="45"/>
        <v>3.2</v>
      </c>
      <c r="AN93" s="87">
        <f>IFERROR(INDEX(FeeCalc!P:P,MATCH(C93,FeeCalc!F:F,0)),0)</f>
        <v>17123220.009976599</v>
      </c>
      <c r="AO93" s="87">
        <f>IFERROR(INDEX(FeeCalc!S:S,MATCH(C93,FeeCalc!F:F,0)),0)</f>
        <v>1057207.0161934365</v>
      </c>
      <c r="AP93" s="87">
        <f t="shared" si="46"/>
        <v>18180427.026170038</v>
      </c>
      <c r="AQ93" s="72">
        <f t="shared" si="47"/>
        <v>7714536.9608687852</v>
      </c>
      <c r="AR93" s="72">
        <f t="shared" si="48"/>
        <v>3857268.4804343926</v>
      </c>
      <c r="AS93" s="72">
        <f t="shared" si="49"/>
        <v>3857268.4804343926</v>
      </c>
      <c r="AT93" s="72">
        <f>IFERROR(IFERROR(INDEX('2023 IP UPL Data'!L:L,MATCH(A:A,'2023 IP UPL Data'!B:B,0)),INDEX('2023 IMD UPL Data'!I:I,MATCH(A:A,'2023 IMD UPL Data'!B:B,0))),0)</f>
        <v>3701750.8562499993</v>
      </c>
      <c r="AU93" s="72">
        <f>IFERROR(IF(F91="IMD",0,INDEX('2023 OP UPL Data'!J:J,MATCH(A:A,'2023 OP UPL Data'!B:B,0))),0)</f>
        <v>696719.05624999991</v>
      </c>
      <c r="AV93" s="45">
        <f t="shared" si="50"/>
        <v>4398469.9124999996</v>
      </c>
      <c r="AW93" s="72">
        <f>IFERROR(IFERROR(INDEX('2023 IP UPL Data'!M:M,MATCH(A:A,'2023 IP UPL Data'!B:B,0)),INDEX('2023 IMD UPL Data'!K:K,MATCH(A:A,'2023 IMD UPL Data'!B:B,0))),0)</f>
        <v>7414795.46</v>
      </c>
      <c r="AX93" s="72">
        <f>IFERROR(IF(F91="IMD",0,INDEX('2023 OP UPL Data'!L:L,MATCH(A:A,'2023 OP UPL Data'!B:B,0))),0)</f>
        <v>3331576.07</v>
      </c>
      <c r="AY93" s="45">
        <f t="shared" si="51"/>
        <v>10746371.529999999</v>
      </c>
      <c r="AZ93" s="72">
        <v>19416214.168395799</v>
      </c>
      <c r="BA93" s="72">
        <v>6218716.4653868647</v>
      </c>
      <c r="BB93" s="72">
        <f t="shared" si="52"/>
        <v>11736533.699645435</v>
      </c>
      <c r="BC93" s="72">
        <f t="shared" si="52"/>
        <v>4502899.9688306563</v>
      </c>
      <c r="BD93" s="72">
        <f t="shared" si="53"/>
        <v>16239433.66847609</v>
      </c>
      <c r="BE93" s="94">
        <f t="shared" si="54"/>
        <v>12001418.708395798</v>
      </c>
      <c r="BF93" s="94">
        <f t="shared" si="54"/>
        <v>2887140.3953868649</v>
      </c>
      <c r="BG93" s="73">
        <f>IFERROR(INDEX('2023 IP UPL Data'!K:K,MATCH(A93,'2023 IP UPL Data'!B:B,0)),0)</f>
        <v>0</v>
      </c>
    </row>
    <row r="94" spans="1:59">
      <c r="A94" s="124" t="s">
        <v>1092</v>
      </c>
      <c r="B94" s="149" t="s">
        <v>1092</v>
      </c>
      <c r="C94" s="31" t="s">
        <v>1093</v>
      </c>
      <c r="D94" s="181" t="s">
        <v>1093</v>
      </c>
      <c r="E94" s="144" t="s">
        <v>3470</v>
      </c>
      <c r="F94" s="120" t="s">
        <v>2718</v>
      </c>
      <c r="G94" s="120" t="s">
        <v>1366</v>
      </c>
      <c r="H94" s="43" t="str">
        <f t="shared" si="34"/>
        <v>Urban Tarrant</v>
      </c>
      <c r="I94" s="45">
        <f>INDEX(FeeCalc!M:M,MATCH(C:C,FeeCalc!F:F,0))</f>
        <v>1768519.674149517</v>
      </c>
      <c r="J94" s="45">
        <f>INDEX(FeeCalc!L:L,MATCH(C:C,FeeCalc!F:F,0))</f>
        <v>924478.28277063603</v>
      </c>
      <c r="K94" s="45">
        <f t="shared" si="35"/>
        <v>2692997.956920153</v>
      </c>
      <c r="L94" s="45">
        <f>IFERROR(IFERROR(INDEX('2023 IP UPL Data'!N:N,MATCH(A:A,'2023 IP UPL Data'!B:B,0)),INDEX('2023 IMD UPL Data'!M:M,MATCH(A:A,'2023 IMD UPL Data'!B:B,0))),0)</f>
        <v>2015532.9987500003</v>
      </c>
      <c r="M94" s="45">
        <f>IFERROR((IF(F94="IMD",0,INDEX('2023 OP UPL Data'!M:M,MATCH(A:A,'2023 OP UPL Data'!B:B,0)))),0)</f>
        <v>1054888.54375</v>
      </c>
      <c r="N94" s="45">
        <f t="shared" si="36"/>
        <v>3070421.5425000004</v>
      </c>
      <c r="O94" s="45">
        <v>6534065.4883207418</v>
      </c>
      <c r="P94" s="45">
        <v>3296062.0920089195</v>
      </c>
      <c r="Q94" s="45">
        <f t="shared" si="37"/>
        <v>9830127.5803296603</v>
      </c>
      <c r="R94" s="45" t="str">
        <f t="shared" si="38"/>
        <v>Yes</v>
      </c>
      <c r="S94" s="46" t="str">
        <f t="shared" si="38"/>
        <v>Yes</v>
      </c>
      <c r="T94" s="47">
        <f>ROUND(INDEX(Summary!H:H,MATCH(H:H,Summary!A:A,0)),2)</f>
        <v>1.68</v>
      </c>
      <c r="U94" s="47">
        <f>ROUND(INDEX(Summary!I:I,MATCH(H:H,Summary!A:A,0)),2)</f>
        <v>1.42</v>
      </c>
      <c r="V94" s="85">
        <f t="shared" si="39"/>
        <v>2971113.0525711882</v>
      </c>
      <c r="W94" s="85">
        <f t="shared" si="39"/>
        <v>1312759.1615343031</v>
      </c>
      <c r="X94" s="45">
        <f t="shared" si="40"/>
        <v>4283872.2141054915</v>
      </c>
      <c r="Y94" s="45" t="s">
        <v>3223</v>
      </c>
      <c r="Z94" s="45" t="str">
        <f t="shared" si="41"/>
        <v>Yes</v>
      </c>
      <c r="AA94" s="45" t="str">
        <f t="shared" si="41"/>
        <v>Yes</v>
      </c>
      <c r="AB94" s="45" t="str">
        <f t="shared" si="42"/>
        <v>Yes</v>
      </c>
      <c r="AC94" s="86">
        <f t="shared" si="55"/>
        <v>1.4</v>
      </c>
      <c r="AD94" s="86">
        <f t="shared" si="56"/>
        <v>1.49</v>
      </c>
      <c r="AE94" s="45">
        <f t="shared" si="57"/>
        <v>2475927.5438093236</v>
      </c>
      <c r="AF94" s="45">
        <f t="shared" si="57"/>
        <v>1377472.6413282477</v>
      </c>
      <c r="AG94" s="45">
        <f t="shared" si="43"/>
        <v>3853400.1851375713</v>
      </c>
      <c r="AH94" s="47">
        <f>IF(Y94="No",0,IFERROR(ROUNDDOWN(INDEX('90% of ACR'!K:K,MATCH(H:H,'90% of ACR'!A:A,0))*IF(I94&gt;0,IF(O94&gt;0,$R$4*MAX(O94-V94,0),0),0)/I94,2),0))</f>
        <v>1.4</v>
      </c>
      <c r="AI94" s="86">
        <f>IF(Y94="No",0,IFERROR(ROUNDDOWN(INDEX('90% of ACR'!R:R,MATCH(H:H,'90% of ACR'!A:A,0))*IF(J94&gt;0,IF(P94&gt;0,$R$4*MAX(P94-W94,0),0),0)/J94,2),0))</f>
        <v>1.21</v>
      </c>
      <c r="AJ94" s="45">
        <f t="shared" si="44"/>
        <v>2475927.5438093236</v>
      </c>
      <c r="AK94" s="45">
        <f t="shared" si="44"/>
        <v>1118618.7221524694</v>
      </c>
      <c r="AL94" s="47">
        <f t="shared" si="45"/>
        <v>3.08</v>
      </c>
      <c r="AM94" s="47">
        <f t="shared" si="45"/>
        <v>2.63</v>
      </c>
      <c r="AN94" s="87">
        <f>IFERROR(INDEX(FeeCalc!P:P,MATCH(C94,FeeCalc!F:F,0)),0)</f>
        <v>7878418.4800672848</v>
      </c>
      <c r="AO94" s="87">
        <f>IFERROR(INDEX(FeeCalc!S:S,MATCH(C94,FeeCalc!F:F,0)),0)</f>
        <v>484483.90412090585</v>
      </c>
      <c r="AP94" s="87">
        <f t="shared" si="46"/>
        <v>8362902.384188191</v>
      </c>
      <c r="AQ94" s="72">
        <f t="shared" si="47"/>
        <v>3548647.0944873439</v>
      </c>
      <c r="AR94" s="72">
        <f t="shared" si="48"/>
        <v>1774323.547243672</v>
      </c>
      <c r="AS94" s="72">
        <f t="shared" si="49"/>
        <v>1774323.547243672</v>
      </c>
      <c r="AT94" s="72">
        <f>IFERROR(IFERROR(INDEX('2023 IP UPL Data'!L:L,MATCH(A:A,'2023 IP UPL Data'!B:B,0)),INDEX('2023 IMD UPL Data'!I:I,MATCH(A:A,'2023 IMD UPL Data'!B:B,0))),0)</f>
        <v>1334318.5812499998</v>
      </c>
      <c r="AU94" s="72">
        <f>IFERROR(IF(F92="IMD",0,INDEX('2023 OP UPL Data'!J:J,MATCH(A:A,'2023 OP UPL Data'!B:B,0))),0)</f>
        <v>522428.60625000001</v>
      </c>
      <c r="AV94" s="45">
        <f t="shared" si="50"/>
        <v>1856747.1874999998</v>
      </c>
      <c r="AW94" s="72">
        <f>IFERROR(IFERROR(INDEX('2023 IP UPL Data'!M:M,MATCH(A:A,'2023 IP UPL Data'!B:B,0)),INDEX('2023 IMD UPL Data'!K:K,MATCH(A:A,'2023 IMD UPL Data'!B:B,0))),0)</f>
        <v>3349851.58</v>
      </c>
      <c r="AX94" s="72">
        <f>IFERROR(IF(F92="IMD",0,INDEX('2023 OP UPL Data'!L:L,MATCH(A:A,'2023 OP UPL Data'!B:B,0))),0)</f>
        <v>1577317.15</v>
      </c>
      <c r="AY94" s="45">
        <f t="shared" si="51"/>
        <v>4927168.7300000004</v>
      </c>
      <c r="AZ94" s="72">
        <v>7868384.0695707416</v>
      </c>
      <c r="BA94" s="72">
        <v>3818490.6982589196</v>
      </c>
      <c r="BB94" s="72">
        <f t="shared" si="52"/>
        <v>4897271.0169995539</v>
      </c>
      <c r="BC94" s="72">
        <f t="shared" si="52"/>
        <v>2505731.5367246168</v>
      </c>
      <c r="BD94" s="72">
        <f t="shared" si="53"/>
        <v>7403002.5537241688</v>
      </c>
      <c r="BE94" s="94">
        <f t="shared" si="54"/>
        <v>4518532.4895707415</v>
      </c>
      <c r="BF94" s="94">
        <f t="shared" si="54"/>
        <v>2241173.5482589197</v>
      </c>
      <c r="BG94" s="73">
        <f>IFERROR(INDEX('2023 IP UPL Data'!K:K,MATCH(A94,'2023 IP UPL Data'!B:B,0)),0)</f>
        <v>0</v>
      </c>
    </row>
    <row r="95" spans="1:59">
      <c r="A95" s="124" t="s">
        <v>365</v>
      </c>
      <c r="B95" s="149" t="s">
        <v>365</v>
      </c>
      <c r="C95" s="31" t="s">
        <v>366</v>
      </c>
      <c r="D95" s="181" t="s">
        <v>366</v>
      </c>
      <c r="E95" s="144" t="s">
        <v>3471</v>
      </c>
      <c r="F95" s="120" t="s">
        <v>2718</v>
      </c>
      <c r="G95" s="120" t="s">
        <v>223</v>
      </c>
      <c r="H95" s="43" t="str">
        <f t="shared" si="34"/>
        <v>Urban Dallas</v>
      </c>
      <c r="I95" s="45">
        <f>INDEX(FeeCalc!M:M,MATCH(C:C,FeeCalc!F:F,0))</f>
        <v>541508.71275238122</v>
      </c>
      <c r="J95" s="45">
        <f>INDEX(FeeCalc!L:L,MATCH(C:C,FeeCalc!F:F,0))</f>
        <v>773234.4426281011</v>
      </c>
      <c r="K95" s="45">
        <f t="shared" si="35"/>
        <v>1314743.1553804823</v>
      </c>
      <c r="L95" s="45">
        <f>IFERROR(IFERROR(INDEX('2023 IP UPL Data'!N:N,MATCH(A:A,'2023 IP UPL Data'!B:B,0)),INDEX('2023 IMD UPL Data'!M:M,MATCH(A:A,'2023 IMD UPL Data'!B:B,0))),0)</f>
        <v>596988.52313253016</v>
      </c>
      <c r="M95" s="45">
        <f>IFERROR((IF(F95="IMD",0,INDEX('2023 OP UPL Data'!M:M,MATCH(A:A,'2023 OP UPL Data'!B:B,0)))),0)</f>
        <v>1197217.5433734939</v>
      </c>
      <c r="N95" s="45">
        <f t="shared" si="36"/>
        <v>1794206.066506024</v>
      </c>
      <c r="O95" s="45">
        <v>2659771.9005591609</v>
      </c>
      <c r="P95" s="45">
        <v>1591638.6878052868</v>
      </c>
      <c r="Q95" s="45">
        <f t="shared" si="37"/>
        <v>4251410.5883644475</v>
      </c>
      <c r="R95" s="45" t="str">
        <f t="shared" si="38"/>
        <v>Yes</v>
      </c>
      <c r="S95" s="46" t="str">
        <f t="shared" si="38"/>
        <v>Yes</v>
      </c>
      <c r="T95" s="47">
        <f>ROUND(INDEX(Summary!H:H,MATCH(H:H,Summary!A:A,0)),2)</f>
        <v>1.2</v>
      </c>
      <c r="U95" s="47">
        <f>ROUND(INDEX(Summary!I:I,MATCH(H:H,Summary!A:A,0)),2)</f>
        <v>1.08</v>
      </c>
      <c r="V95" s="85">
        <f t="shared" si="39"/>
        <v>649810.45530285744</v>
      </c>
      <c r="W95" s="85">
        <f t="shared" si="39"/>
        <v>835093.19803834928</v>
      </c>
      <c r="X95" s="45">
        <f t="shared" si="40"/>
        <v>1484903.6533412067</v>
      </c>
      <c r="Y95" s="45" t="s">
        <v>3223</v>
      </c>
      <c r="Z95" s="45" t="str">
        <f t="shared" si="41"/>
        <v>Yes</v>
      </c>
      <c r="AA95" s="45" t="str">
        <f t="shared" si="41"/>
        <v>Yes</v>
      </c>
      <c r="AB95" s="45" t="str">
        <f t="shared" si="42"/>
        <v>Yes</v>
      </c>
      <c r="AC95" s="86">
        <f t="shared" si="55"/>
        <v>2.59</v>
      </c>
      <c r="AD95" s="86">
        <f t="shared" si="56"/>
        <v>0.68</v>
      </c>
      <c r="AE95" s="45">
        <f t="shared" si="57"/>
        <v>1402507.5660286674</v>
      </c>
      <c r="AF95" s="45">
        <f t="shared" si="57"/>
        <v>525799.42098710884</v>
      </c>
      <c r="AG95" s="45">
        <f t="shared" si="43"/>
        <v>1928306.9870157763</v>
      </c>
      <c r="AH95" s="47">
        <f>IF(Y95="No",0,IFERROR(ROUNDDOWN(INDEX('90% of ACR'!K:K,MATCH(H:H,'90% of ACR'!A:A,0))*IF(I95&gt;0,IF(O95&gt;0,$R$4*MAX(O95-V95,0),0),0)/I95,2),0))</f>
        <v>2.4900000000000002</v>
      </c>
      <c r="AI95" s="86">
        <f>IF(Y95="No",0,IFERROR(ROUNDDOWN(INDEX('90% of ACR'!R:R,MATCH(H:H,'90% of ACR'!A:A,0))*IF(J95&gt;0,IF(P95&gt;0,$R$4*MAX(P95-W95,0),0),0)/J95,2),0))</f>
        <v>0.68</v>
      </c>
      <c r="AJ95" s="45">
        <f t="shared" si="44"/>
        <v>1348356.6947534294</v>
      </c>
      <c r="AK95" s="45">
        <f t="shared" si="44"/>
        <v>525799.42098710884</v>
      </c>
      <c r="AL95" s="47">
        <f t="shared" si="45"/>
        <v>3.6900000000000004</v>
      </c>
      <c r="AM95" s="47">
        <f t="shared" si="45"/>
        <v>1.7600000000000002</v>
      </c>
      <c r="AN95" s="87">
        <f>IFERROR(INDEX(FeeCalc!P:P,MATCH(C95,FeeCalc!F:F,0)),0)</f>
        <v>3359059.7690817453</v>
      </c>
      <c r="AO95" s="87">
        <f>IFERROR(INDEX(FeeCalc!S:S,MATCH(C95,FeeCalc!F:F,0)),0)</f>
        <v>209385.31944847823</v>
      </c>
      <c r="AP95" s="87">
        <f t="shared" si="46"/>
        <v>3568445.0885302234</v>
      </c>
      <c r="AQ95" s="72">
        <f t="shared" si="47"/>
        <v>1514205.4413062069</v>
      </c>
      <c r="AR95" s="72">
        <f t="shared" si="48"/>
        <v>757102.72065310343</v>
      </c>
      <c r="AS95" s="72">
        <f t="shared" si="49"/>
        <v>757102.72065310343</v>
      </c>
      <c r="AT95" s="72">
        <f>IFERROR(IFERROR(INDEX('2023 IP UPL Data'!L:L,MATCH(A:A,'2023 IP UPL Data'!B:B,0)),INDEX('2023 IMD UPL Data'!I:I,MATCH(A:A,'2023 IMD UPL Data'!B:B,0))),0)</f>
        <v>651678.21686746983</v>
      </c>
      <c r="AU95" s="72">
        <f>IFERROR(IF(F93="IMD",0,INDEX('2023 OP UPL Data'!J:J,MATCH(A:A,'2023 OP UPL Data'!B:B,0))),0)</f>
        <v>527235.15662650601</v>
      </c>
      <c r="AV95" s="45">
        <f t="shared" si="50"/>
        <v>1178913.373493976</v>
      </c>
      <c r="AW95" s="72">
        <f>IFERROR(IFERROR(INDEX('2023 IP UPL Data'!M:M,MATCH(A:A,'2023 IP UPL Data'!B:B,0)),INDEX('2023 IMD UPL Data'!K:K,MATCH(A:A,'2023 IMD UPL Data'!B:B,0))),0)</f>
        <v>1248666.74</v>
      </c>
      <c r="AX95" s="72">
        <f>IFERROR(IF(F93="IMD",0,INDEX('2023 OP UPL Data'!L:L,MATCH(A:A,'2023 OP UPL Data'!B:B,0))),0)</f>
        <v>1724452.7</v>
      </c>
      <c r="AY95" s="45">
        <f t="shared" si="51"/>
        <v>2973119.44</v>
      </c>
      <c r="AZ95" s="72">
        <v>3311450.1174266306</v>
      </c>
      <c r="BA95" s="72">
        <v>2118873.8444317929</v>
      </c>
      <c r="BB95" s="72">
        <f t="shared" si="52"/>
        <v>2661639.6621237732</v>
      </c>
      <c r="BC95" s="72">
        <f t="shared" si="52"/>
        <v>1283780.6463934435</v>
      </c>
      <c r="BD95" s="72">
        <f t="shared" si="53"/>
        <v>3945420.3085172167</v>
      </c>
      <c r="BE95" s="94">
        <f t="shared" si="54"/>
        <v>2062783.3774266306</v>
      </c>
      <c r="BF95" s="94">
        <f t="shared" si="54"/>
        <v>394421.1444317929</v>
      </c>
      <c r="BG95" s="73">
        <f>IFERROR(INDEX('2023 IP UPL Data'!K:K,MATCH(A95,'2023 IP UPL Data'!B:B,0)),0)</f>
        <v>0</v>
      </c>
    </row>
    <row r="96" spans="1:59">
      <c r="A96" s="124" t="s">
        <v>404</v>
      </c>
      <c r="B96" s="149" t="s">
        <v>404</v>
      </c>
      <c r="C96" s="31" t="s">
        <v>405</v>
      </c>
      <c r="D96" s="181" t="s">
        <v>405</v>
      </c>
      <c r="E96" s="144" t="s">
        <v>3472</v>
      </c>
      <c r="F96" s="120" t="s">
        <v>2718</v>
      </c>
      <c r="G96" s="120" t="s">
        <v>1366</v>
      </c>
      <c r="H96" s="43" t="str">
        <f t="shared" si="34"/>
        <v>Urban Tarrant</v>
      </c>
      <c r="I96" s="45">
        <f>INDEX(FeeCalc!M:M,MATCH(C:C,FeeCalc!F:F,0))</f>
        <v>0</v>
      </c>
      <c r="J96" s="45">
        <f>INDEX(FeeCalc!L:L,MATCH(C:C,FeeCalc!F:F,0))</f>
        <v>158036.82044787682</v>
      </c>
      <c r="K96" s="45">
        <f t="shared" si="35"/>
        <v>158036.82044787682</v>
      </c>
      <c r="L96" s="45">
        <f>IFERROR(IFERROR(INDEX('2023 IP UPL Data'!N:N,MATCH(A:A,'2023 IP UPL Data'!B:B,0)),INDEX('2023 IMD UPL Data'!M:M,MATCH(A:A,'2023 IMD UPL Data'!B:B,0))),0)</f>
        <v>18382.282500000001</v>
      </c>
      <c r="M96" s="45">
        <f>IFERROR((IF(F96="IMD",0,INDEX('2023 OP UPL Data'!M:M,MATCH(A:A,'2023 OP UPL Data'!B:B,0)))),0)</f>
        <v>317489.01</v>
      </c>
      <c r="N96" s="45">
        <f t="shared" si="36"/>
        <v>335871.29249999998</v>
      </c>
      <c r="O96" s="45">
        <v>115062.83462787885</v>
      </c>
      <c r="P96" s="45">
        <v>217813.81111000001</v>
      </c>
      <c r="Q96" s="45">
        <f t="shared" si="37"/>
        <v>332876.64573787886</v>
      </c>
      <c r="R96" s="45" t="str">
        <f t="shared" si="38"/>
        <v>Yes</v>
      </c>
      <c r="S96" s="46" t="str">
        <f t="shared" si="38"/>
        <v>Yes</v>
      </c>
      <c r="T96" s="47">
        <f>ROUND(INDEX(Summary!H:H,MATCH(H:H,Summary!A:A,0)),2)</f>
        <v>1.68</v>
      </c>
      <c r="U96" s="47">
        <f>ROUND(INDEX(Summary!I:I,MATCH(H:H,Summary!A:A,0)),2)</f>
        <v>1.42</v>
      </c>
      <c r="V96" s="85">
        <f t="shared" si="39"/>
        <v>0</v>
      </c>
      <c r="W96" s="85">
        <f t="shared" si="39"/>
        <v>224412.28503598506</v>
      </c>
      <c r="X96" s="45">
        <f t="shared" si="40"/>
        <v>224412.28503598506</v>
      </c>
      <c r="Y96" s="45" t="s">
        <v>3223</v>
      </c>
      <c r="Z96" s="45" t="str">
        <f t="shared" si="41"/>
        <v>No</v>
      </c>
      <c r="AA96" s="45" t="str">
        <f t="shared" si="41"/>
        <v>No</v>
      </c>
      <c r="AB96" s="45" t="str">
        <f t="shared" si="42"/>
        <v>No</v>
      </c>
      <c r="AC96" s="86">
        <f t="shared" si="55"/>
        <v>0</v>
      </c>
      <c r="AD96" s="86">
        <f t="shared" si="56"/>
        <v>0</v>
      </c>
      <c r="AE96" s="45">
        <f t="shared" si="57"/>
        <v>0</v>
      </c>
      <c r="AF96" s="45">
        <f t="shared" si="57"/>
        <v>0</v>
      </c>
      <c r="AG96" s="45">
        <f t="shared" si="43"/>
        <v>0</v>
      </c>
      <c r="AH96" s="47">
        <f>IF(Y96="No",0,IFERROR(ROUNDDOWN(INDEX('90% of ACR'!K:K,MATCH(H:H,'90% of ACR'!A:A,0))*IF(I96&gt;0,IF(O96&gt;0,$R$4*MAX(O96-V96,0),0),0)/I96,2),0))</f>
        <v>0</v>
      </c>
      <c r="AI96" s="86">
        <f>IF(Y96="No",0,IFERROR(ROUNDDOWN(INDEX('90% of ACR'!R:R,MATCH(H:H,'90% of ACR'!A:A,0))*IF(J96&gt;0,IF(P96&gt;0,$R$4*MAX(P96-W96,0),0),0)/J96,2),0))</f>
        <v>0</v>
      </c>
      <c r="AJ96" s="45">
        <f t="shared" si="44"/>
        <v>0</v>
      </c>
      <c r="AK96" s="45">
        <f t="shared" si="44"/>
        <v>0</v>
      </c>
      <c r="AL96" s="47">
        <f t="shared" si="45"/>
        <v>1.68</v>
      </c>
      <c r="AM96" s="47">
        <f t="shared" si="45"/>
        <v>1.42</v>
      </c>
      <c r="AN96" s="87">
        <f>IFERROR(INDEX(FeeCalc!P:P,MATCH(C96,FeeCalc!F:F,0)),0)</f>
        <v>224412.28503598506</v>
      </c>
      <c r="AO96" s="87">
        <f>IFERROR(INDEX(FeeCalc!S:S,MATCH(C96,FeeCalc!F:F,0)),0)</f>
        <v>13728.476208276896</v>
      </c>
      <c r="AP96" s="87">
        <f t="shared" si="46"/>
        <v>238140.76124426196</v>
      </c>
      <c r="AQ96" s="72">
        <f t="shared" si="47"/>
        <v>101050.74550030018</v>
      </c>
      <c r="AR96" s="72">
        <f t="shared" si="48"/>
        <v>50525.372750150091</v>
      </c>
      <c r="AS96" s="72">
        <f t="shared" si="49"/>
        <v>50525.372750150091</v>
      </c>
      <c r="AT96" s="72">
        <f>IFERROR(IFERROR(INDEX('2023 IP UPL Data'!L:L,MATCH(A:A,'2023 IP UPL Data'!B:B,0)),INDEX('2023 IMD UPL Data'!I:I,MATCH(A:A,'2023 IMD UPL Data'!B:B,0))),0)</f>
        <v>13493.3375</v>
      </c>
      <c r="AU96" s="72">
        <f>IFERROR(IF(F94="IMD",0,INDEX('2023 OP UPL Data'!J:J,MATCH(A:A,'2023 OP UPL Data'!B:B,0))),0)</f>
        <v>30160.799999999996</v>
      </c>
      <c r="AV96" s="45">
        <f t="shared" si="50"/>
        <v>43654.137499999997</v>
      </c>
      <c r="AW96" s="72">
        <f>IFERROR(IFERROR(INDEX('2023 IP UPL Data'!M:M,MATCH(A:A,'2023 IP UPL Data'!B:B,0)),INDEX('2023 IMD UPL Data'!K:K,MATCH(A:A,'2023 IMD UPL Data'!B:B,0))),0)</f>
        <v>31875.62</v>
      </c>
      <c r="AX96" s="72">
        <f>IFERROR(IF(F94="IMD",0,INDEX('2023 OP UPL Data'!L:L,MATCH(A:A,'2023 OP UPL Data'!B:B,0))),0)</f>
        <v>347649.81</v>
      </c>
      <c r="AY96" s="45">
        <f t="shared" si="51"/>
        <v>379525.43</v>
      </c>
      <c r="AZ96" s="72">
        <v>128556.17212787885</v>
      </c>
      <c r="BA96" s="72">
        <v>247974.61111</v>
      </c>
      <c r="BB96" s="72">
        <f t="shared" si="52"/>
        <v>128556.17212787885</v>
      </c>
      <c r="BC96" s="72">
        <f t="shared" si="52"/>
        <v>23562.326074014942</v>
      </c>
      <c r="BD96" s="72">
        <f t="shared" si="53"/>
        <v>152118.49820189376</v>
      </c>
      <c r="BE96" s="94">
        <f t="shared" si="54"/>
        <v>96680.552127878851</v>
      </c>
      <c r="BF96" s="94">
        <f t="shared" si="54"/>
        <v>0</v>
      </c>
      <c r="BG96" s="73">
        <f>IFERROR(INDEX('2023 IP UPL Data'!K:K,MATCH(A96,'2023 IP UPL Data'!B:B,0)),0)</f>
        <v>0</v>
      </c>
    </row>
    <row r="97" spans="1:59">
      <c r="A97" s="124" t="s">
        <v>143</v>
      </c>
      <c r="B97" s="149" t="s">
        <v>143</v>
      </c>
      <c r="C97" s="31" t="s">
        <v>144</v>
      </c>
      <c r="D97" s="181" t="s">
        <v>144</v>
      </c>
      <c r="E97" s="144" t="s">
        <v>3473</v>
      </c>
      <c r="F97" s="120" t="s">
        <v>2718</v>
      </c>
      <c r="G97" s="120" t="s">
        <v>1366</v>
      </c>
      <c r="H97" s="43" t="str">
        <f t="shared" si="34"/>
        <v>Urban Tarrant</v>
      </c>
      <c r="I97" s="45">
        <f>INDEX(FeeCalc!M:M,MATCH(C:C,FeeCalc!F:F,0))</f>
        <v>1036430.9096193116</v>
      </c>
      <c r="J97" s="45">
        <f>INDEX(FeeCalc!L:L,MATCH(C:C,FeeCalc!F:F,0))</f>
        <v>429022.91061339184</v>
      </c>
      <c r="K97" s="45">
        <f t="shared" si="35"/>
        <v>1465453.8202327034</v>
      </c>
      <c r="L97" s="45">
        <f>IFERROR(IFERROR(INDEX('2023 IP UPL Data'!N:N,MATCH(A:A,'2023 IP UPL Data'!B:B,0)),INDEX('2023 IMD UPL Data'!M:M,MATCH(A:A,'2023 IMD UPL Data'!B:B,0))),0)</f>
        <v>1178765.6974999998</v>
      </c>
      <c r="M97" s="45">
        <f>IFERROR((IF(F97="IMD",0,INDEX('2023 OP UPL Data'!M:M,MATCH(A:A,'2023 OP UPL Data'!B:B,0)))),0)</f>
        <v>927498.68374999997</v>
      </c>
      <c r="N97" s="45">
        <f t="shared" si="36"/>
        <v>2106264.3812499996</v>
      </c>
      <c r="O97" s="45">
        <v>4790063.298232222</v>
      </c>
      <c r="P97" s="45">
        <v>1102011.8965510644</v>
      </c>
      <c r="Q97" s="45">
        <f t="shared" si="37"/>
        <v>5892075.1947832862</v>
      </c>
      <c r="R97" s="45" t="str">
        <f t="shared" si="38"/>
        <v>Yes</v>
      </c>
      <c r="S97" s="46" t="str">
        <f t="shared" si="38"/>
        <v>Yes</v>
      </c>
      <c r="T97" s="47">
        <f>ROUND(INDEX(Summary!H:H,MATCH(H:H,Summary!A:A,0)),2)</f>
        <v>1.68</v>
      </c>
      <c r="U97" s="47">
        <f>ROUND(INDEX(Summary!I:I,MATCH(H:H,Summary!A:A,0)),2)</f>
        <v>1.42</v>
      </c>
      <c r="V97" s="85">
        <f t="shared" si="39"/>
        <v>1741203.9281604434</v>
      </c>
      <c r="W97" s="85">
        <f t="shared" si="39"/>
        <v>609212.53307101643</v>
      </c>
      <c r="X97" s="45">
        <f t="shared" si="40"/>
        <v>2350416.4612314599</v>
      </c>
      <c r="Y97" s="45" t="s">
        <v>3223</v>
      </c>
      <c r="Z97" s="45" t="str">
        <f t="shared" si="41"/>
        <v>Yes</v>
      </c>
      <c r="AA97" s="45" t="str">
        <f t="shared" si="41"/>
        <v>Yes</v>
      </c>
      <c r="AB97" s="45" t="str">
        <f t="shared" si="42"/>
        <v>Yes</v>
      </c>
      <c r="AC97" s="86">
        <f t="shared" si="55"/>
        <v>2.0499999999999998</v>
      </c>
      <c r="AD97" s="86">
        <f t="shared" si="56"/>
        <v>0.8</v>
      </c>
      <c r="AE97" s="45">
        <f t="shared" si="57"/>
        <v>2124683.3647195883</v>
      </c>
      <c r="AF97" s="45">
        <f t="shared" si="57"/>
        <v>343218.32849071349</v>
      </c>
      <c r="AG97" s="45">
        <f t="shared" si="43"/>
        <v>2467901.6932103019</v>
      </c>
      <c r="AH97" s="47">
        <f>IF(Y97="No",0,IFERROR(ROUNDDOWN(INDEX('90% of ACR'!K:K,MATCH(H:H,'90% of ACR'!A:A,0))*IF(I97&gt;0,IF(O97&gt;0,$R$4*MAX(O97-V97,0),0),0)/I97,2),0))</f>
        <v>2.04</v>
      </c>
      <c r="AI97" s="86">
        <f>IF(Y97="No",0,IFERROR(ROUNDDOWN(INDEX('90% of ACR'!R:R,MATCH(H:H,'90% of ACR'!A:A,0))*IF(J97&gt;0,IF(P97&gt;0,$R$4*MAX(P97-W97,0),0),0)/J97,2),0))</f>
        <v>0.65</v>
      </c>
      <c r="AJ97" s="45">
        <f t="shared" si="44"/>
        <v>2114319.0556233958</v>
      </c>
      <c r="AK97" s="45">
        <f t="shared" si="44"/>
        <v>278864.89189870469</v>
      </c>
      <c r="AL97" s="47">
        <f t="shared" si="45"/>
        <v>3.7199999999999998</v>
      </c>
      <c r="AM97" s="47">
        <f t="shared" si="45"/>
        <v>2.0699999999999998</v>
      </c>
      <c r="AN97" s="87">
        <f>IFERROR(INDEX(FeeCalc!P:P,MATCH(C97,FeeCalc!F:F,0)),0)</f>
        <v>4743600.4087535599</v>
      </c>
      <c r="AO97" s="87">
        <f>IFERROR(INDEX(FeeCalc!S:S,MATCH(C97,FeeCalc!F:F,0)),0)</f>
        <v>291427.54041536833</v>
      </c>
      <c r="AP97" s="87">
        <f t="shared" si="46"/>
        <v>5035027.949168928</v>
      </c>
      <c r="AQ97" s="72">
        <f t="shared" si="47"/>
        <v>2136523.4797267499</v>
      </c>
      <c r="AR97" s="72">
        <f t="shared" si="48"/>
        <v>1068261.739863375</v>
      </c>
      <c r="AS97" s="72">
        <f t="shared" si="49"/>
        <v>1068261.739863375</v>
      </c>
      <c r="AT97" s="72">
        <f>IFERROR(IFERROR(INDEX('2023 IP UPL Data'!L:L,MATCH(A:A,'2023 IP UPL Data'!B:B,0)),INDEX('2023 IMD UPL Data'!I:I,MATCH(A:A,'2023 IMD UPL Data'!B:B,0))),0)</f>
        <v>988109.26250000007</v>
      </c>
      <c r="AU97" s="72">
        <f>IFERROR(IF(F95="IMD",0,INDEX('2023 OP UPL Data'!J:J,MATCH(A:A,'2023 OP UPL Data'!B:B,0))),0)</f>
        <v>203095.80624999999</v>
      </c>
      <c r="AV97" s="45">
        <f t="shared" si="50"/>
        <v>1191205.0687500001</v>
      </c>
      <c r="AW97" s="72">
        <f>IFERROR(IFERROR(INDEX('2023 IP UPL Data'!M:M,MATCH(A:A,'2023 IP UPL Data'!B:B,0)),INDEX('2023 IMD UPL Data'!K:K,MATCH(A:A,'2023 IMD UPL Data'!B:B,0))),0)</f>
        <v>2166874.96</v>
      </c>
      <c r="AX97" s="72">
        <f>IFERROR(IF(F95="IMD",0,INDEX('2023 OP UPL Data'!L:L,MATCH(A:A,'2023 OP UPL Data'!B:B,0))),0)</f>
        <v>1130594.49</v>
      </c>
      <c r="AY97" s="45">
        <f t="shared" si="51"/>
        <v>3297469.45</v>
      </c>
      <c r="AZ97" s="72">
        <v>5778172.5607322222</v>
      </c>
      <c r="BA97" s="72">
        <v>1305107.7028010644</v>
      </c>
      <c r="BB97" s="72">
        <f t="shared" si="52"/>
        <v>4036968.6325717787</v>
      </c>
      <c r="BC97" s="72">
        <f t="shared" si="52"/>
        <v>695895.16973004793</v>
      </c>
      <c r="BD97" s="72">
        <f t="shared" si="53"/>
        <v>4732863.8023018269</v>
      </c>
      <c r="BE97" s="94">
        <f t="shared" si="54"/>
        <v>3611297.6007322222</v>
      </c>
      <c r="BF97" s="94">
        <f t="shared" si="54"/>
        <v>174513.21280106436</v>
      </c>
      <c r="BG97" s="73">
        <f>IFERROR(INDEX('2023 IP UPL Data'!K:K,MATCH(A97,'2023 IP UPL Data'!B:B,0)),0)</f>
        <v>0</v>
      </c>
    </row>
    <row r="98" spans="1:59" ht="25.5">
      <c r="A98" s="124" t="s">
        <v>1357</v>
      </c>
      <c r="B98" s="149" t="s">
        <v>1357</v>
      </c>
      <c r="C98" s="31" t="s">
        <v>1358</v>
      </c>
      <c r="D98" s="181" t="s">
        <v>1358</v>
      </c>
      <c r="E98" s="144" t="s">
        <v>3474</v>
      </c>
      <c r="F98" s="120" t="s">
        <v>3069</v>
      </c>
      <c r="G98" s="120" t="s">
        <v>300</v>
      </c>
      <c r="H98" s="43" t="str">
        <f t="shared" si="34"/>
        <v>Non-state-owned IMD Harris</v>
      </c>
      <c r="I98" s="45">
        <f>INDEX(FeeCalc!M:M,MATCH(C:C,FeeCalc!F:F,0))</f>
        <v>879998.58602819394</v>
      </c>
      <c r="J98" s="45">
        <f>INDEX(FeeCalc!L:L,MATCH(C:C,FeeCalc!F:F,0))</f>
        <v>0</v>
      </c>
      <c r="K98" s="45">
        <f t="shared" si="35"/>
        <v>879998.58602819394</v>
      </c>
      <c r="L98" s="45">
        <f>IFERROR(IFERROR(INDEX('2023 IP UPL Data'!N:N,MATCH(A:A,'2023 IP UPL Data'!B:B,0)),INDEX('2023 IMD UPL Data'!M:M,MATCH(A:A,'2023 IMD UPL Data'!B:B,0))),0)</f>
        <v>649853</v>
      </c>
      <c r="M98" s="45">
        <f>IFERROR((IF(F98="IMD",0,INDEX('2023 OP UPL Data'!M:M,MATCH(A:A,'2023 OP UPL Data'!B:B,0)))),0)</f>
        <v>0</v>
      </c>
      <c r="N98" s="45">
        <f t="shared" si="36"/>
        <v>649853</v>
      </c>
      <c r="O98" s="45">
        <v>607494.75927177537</v>
      </c>
      <c r="P98" s="45">
        <v>0</v>
      </c>
      <c r="Q98" s="45">
        <f t="shared" si="37"/>
        <v>607494.75927177537</v>
      </c>
      <c r="R98" s="45" t="str">
        <f t="shared" si="38"/>
        <v>Yes</v>
      </c>
      <c r="S98" s="46" t="str">
        <f t="shared" si="38"/>
        <v>No</v>
      </c>
      <c r="T98" s="47">
        <f>ROUND(INDEX(Summary!H:H,MATCH(H:H,Summary!A:A,0)),2)</f>
        <v>0.44</v>
      </c>
      <c r="U98" s="47">
        <f>ROUND(INDEX(Summary!I:I,MATCH(H:H,Summary!A:A,0)),2)</f>
        <v>0</v>
      </c>
      <c r="V98" s="85">
        <f t="shared" si="39"/>
        <v>387199.37785240536</v>
      </c>
      <c r="W98" s="85">
        <f t="shared" si="39"/>
        <v>0</v>
      </c>
      <c r="X98" s="45">
        <f t="shared" si="40"/>
        <v>387199.37785240536</v>
      </c>
      <c r="Y98" s="45" t="s">
        <v>3223</v>
      </c>
      <c r="Z98" s="45" t="str">
        <f t="shared" si="41"/>
        <v>No</v>
      </c>
      <c r="AA98" s="45" t="str">
        <f t="shared" si="41"/>
        <v>No</v>
      </c>
      <c r="AB98" s="45" t="str">
        <f t="shared" si="42"/>
        <v>Yes</v>
      </c>
      <c r="AC98" s="86">
        <f t="shared" si="55"/>
        <v>0.17</v>
      </c>
      <c r="AD98" s="86">
        <f t="shared" si="56"/>
        <v>0</v>
      </c>
      <c r="AE98" s="45">
        <f t="shared" si="57"/>
        <v>149599.75962479299</v>
      </c>
      <c r="AF98" s="45">
        <f t="shared" si="57"/>
        <v>0</v>
      </c>
      <c r="AG98" s="45">
        <f t="shared" si="43"/>
        <v>149599.75962479299</v>
      </c>
      <c r="AH98" s="47">
        <f>IF(Y98="No",0,IFERROR(ROUNDDOWN(INDEX('90% of ACR'!K:K,MATCH(H:H,'90% of ACR'!A:A,0))*IF(I98&gt;0,IF(O98&gt;0,$R$4*MAX(O98-V98,0),0),0)/I98,2),0))</f>
        <v>0</v>
      </c>
      <c r="AI98" s="86">
        <f>IF(Y98="No",0,IFERROR(ROUNDDOWN(INDEX('90% of ACR'!R:R,MATCH(H:H,'90% of ACR'!A:A,0))*IF(J98&gt;0,IF(P98&gt;0,$R$4*MAX(P98-W98,0),0),0)/J98,2),0))</f>
        <v>0</v>
      </c>
      <c r="AJ98" s="45">
        <f t="shared" si="44"/>
        <v>0</v>
      </c>
      <c r="AK98" s="45">
        <f t="shared" si="44"/>
        <v>0</v>
      </c>
      <c r="AL98" s="47">
        <f t="shared" si="45"/>
        <v>0.44</v>
      </c>
      <c r="AM98" s="47">
        <f t="shared" si="45"/>
        <v>0</v>
      </c>
      <c r="AN98" s="87">
        <f>IFERROR(INDEX(FeeCalc!P:P,MATCH(C98,FeeCalc!F:F,0)),0)</f>
        <v>387199.37785240536</v>
      </c>
      <c r="AO98" s="87">
        <f>IFERROR(INDEX(FeeCalc!S:S,MATCH(C98,FeeCalc!F:F,0)),0)</f>
        <v>23622.243211154702</v>
      </c>
      <c r="AP98" s="87">
        <f t="shared" si="46"/>
        <v>410821.62106356007</v>
      </c>
      <c r="AQ98" s="72">
        <f t="shared" si="47"/>
        <v>174324.7601091426</v>
      </c>
      <c r="AR98" s="72">
        <f t="shared" si="48"/>
        <v>87162.380054571302</v>
      </c>
      <c r="AS98" s="72">
        <f t="shared" si="49"/>
        <v>87162.380054571302</v>
      </c>
      <c r="AT98" s="72">
        <f>IFERROR(IFERROR(INDEX('2023 IP UPL Data'!L:L,MATCH(A:A,'2023 IP UPL Data'!B:B,0)),INDEX('2023 IMD UPL Data'!I:I,MATCH(A:A,'2023 IMD UPL Data'!B:B,0))),0)</f>
        <v>1829093</v>
      </c>
      <c r="AU98" s="72">
        <f>IFERROR(IF(F96="IMD",0,INDEX('2023 OP UPL Data'!J:J,MATCH(A:A,'2023 OP UPL Data'!B:B,0))),0)</f>
        <v>0</v>
      </c>
      <c r="AV98" s="45">
        <f t="shared" si="50"/>
        <v>1829093</v>
      </c>
      <c r="AW98" s="72">
        <f>IFERROR(IFERROR(INDEX('2023 IP UPL Data'!M:M,MATCH(A:A,'2023 IP UPL Data'!B:B,0)),INDEX('2023 IMD UPL Data'!K:K,MATCH(A:A,'2023 IMD UPL Data'!B:B,0))),0)</f>
        <v>649853</v>
      </c>
      <c r="AX98" s="72">
        <f>IFERROR(IF(F96="IMD",0,INDEX('2023 OP UPL Data'!L:L,MATCH(A:A,'2023 OP UPL Data'!B:B,0))),0)</f>
        <v>0</v>
      </c>
      <c r="AY98" s="45">
        <f t="shared" si="51"/>
        <v>649853</v>
      </c>
      <c r="AZ98" s="72">
        <v>2436587.7592717754</v>
      </c>
      <c r="BA98" s="72">
        <v>0</v>
      </c>
      <c r="BB98" s="72">
        <f t="shared" si="52"/>
        <v>2049388.38141937</v>
      </c>
      <c r="BC98" s="72">
        <f t="shared" si="52"/>
        <v>0</v>
      </c>
      <c r="BD98" s="72">
        <f t="shared" si="53"/>
        <v>2049388.38141937</v>
      </c>
      <c r="BE98" s="94">
        <f t="shared" si="54"/>
        <v>1786734.7592717754</v>
      </c>
      <c r="BF98" s="94">
        <f t="shared" si="54"/>
        <v>0</v>
      </c>
      <c r="BG98" s="73">
        <f>IFERROR(INDEX('2023 IP UPL Data'!K:K,MATCH(A98,'2023 IP UPL Data'!B:B,0)),0)</f>
        <v>0</v>
      </c>
    </row>
    <row r="99" spans="1:59">
      <c r="A99" s="124" t="s">
        <v>968</v>
      </c>
      <c r="B99" s="149" t="s">
        <v>968</v>
      </c>
      <c r="C99" s="31" t="s">
        <v>969</v>
      </c>
      <c r="D99" s="181" t="s">
        <v>969</v>
      </c>
      <c r="E99" s="144" t="s">
        <v>3475</v>
      </c>
      <c r="F99" s="120" t="s">
        <v>2718</v>
      </c>
      <c r="G99" s="120" t="s">
        <v>223</v>
      </c>
      <c r="H99" s="43" t="str">
        <f t="shared" si="34"/>
        <v>Urban Dallas</v>
      </c>
      <c r="I99" s="45">
        <f>INDEX(FeeCalc!M:M,MATCH(C:C,FeeCalc!F:F,0))</f>
        <v>0</v>
      </c>
      <c r="J99" s="45">
        <f>INDEX(FeeCalc!L:L,MATCH(C:C,FeeCalc!F:F,0))</f>
        <v>56682.447749754174</v>
      </c>
      <c r="K99" s="45">
        <f t="shared" si="35"/>
        <v>56682.447749754174</v>
      </c>
      <c r="L99" s="45">
        <f>IFERROR(IFERROR(INDEX('2023 IP UPL Data'!N:N,MATCH(A:A,'2023 IP UPL Data'!B:B,0)),INDEX('2023 IMD UPL Data'!M:M,MATCH(A:A,'2023 IMD UPL Data'!B:B,0))),0)</f>
        <v>14183.67</v>
      </c>
      <c r="M99" s="45">
        <f>IFERROR((IF(F99="IMD",0,INDEX('2023 OP UPL Data'!M:M,MATCH(A:A,'2023 OP UPL Data'!B:B,0)))),0)</f>
        <v>76528.552891566273</v>
      </c>
      <c r="N99" s="45">
        <f t="shared" si="36"/>
        <v>90712.222891566271</v>
      </c>
      <c r="O99" s="45">
        <v>50802.006839566006</v>
      </c>
      <c r="P99" s="45">
        <v>147547.80167664081</v>
      </c>
      <c r="Q99" s="45">
        <f t="shared" si="37"/>
        <v>198349.8085162068</v>
      </c>
      <c r="R99" s="45" t="str">
        <f t="shared" si="38"/>
        <v>Yes</v>
      </c>
      <c r="S99" s="46" t="str">
        <f t="shared" si="38"/>
        <v>Yes</v>
      </c>
      <c r="T99" s="47">
        <f>ROUND(INDEX(Summary!H:H,MATCH(H:H,Summary!A:A,0)),2)</f>
        <v>1.2</v>
      </c>
      <c r="U99" s="47">
        <f>ROUND(INDEX(Summary!I:I,MATCH(H:H,Summary!A:A,0)),2)</f>
        <v>1.08</v>
      </c>
      <c r="V99" s="85">
        <f t="shared" si="39"/>
        <v>0</v>
      </c>
      <c r="W99" s="85">
        <f t="shared" si="39"/>
        <v>61217.043569734509</v>
      </c>
      <c r="X99" s="45">
        <f t="shared" si="40"/>
        <v>61217.043569734509</v>
      </c>
      <c r="Y99" s="45" t="s">
        <v>3223</v>
      </c>
      <c r="Z99" s="45" t="str">
        <f t="shared" si="41"/>
        <v>No</v>
      </c>
      <c r="AA99" s="45" t="str">
        <f t="shared" si="41"/>
        <v>Yes</v>
      </c>
      <c r="AB99" s="45" t="str">
        <f t="shared" si="42"/>
        <v>Yes</v>
      </c>
      <c r="AC99" s="86">
        <f t="shared" si="55"/>
        <v>0</v>
      </c>
      <c r="AD99" s="86">
        <f t="shared" si="56"/>
        <v>1.06</v>
      </c>
      <c r="AE99" s="45">
        <f t="shared" si="57"/>
        <v>0</v>
      </c>
      <c r="AF99" s="45">
        <f t="shared" si="57"/>
        <v>60083.394614739431</v>
      </c>
      <c r="AG99" s="45">
        <f t="shared" si="43"/>
        <v>60083.394614739431</v>
      </c>
      <c r="AH99" s="47">
        <f>IF(Y99="No",0,IFERROR(ROUNDDOWN(INDEX('90% of ACR'!K:K,MATCH(H:H,'90% of ACR'!A:A,0))*IF(I99&gt;0,IF(O99&gt;0,$R$4*MAX(O99-V99,0),0),0)/I99,2),0))</f>
        <v>0</v>
      </c>
      <c r="AI99" s="86">
        <f>IF(Y99="No",0,IFERROR(ROUNDDOWN(INDEX('90% of ACR'!R:R,MATCH(H:H,'90% of ACR'!A:A,0))*IF(J99&gt;0,IF(P99&gt;0,$R$4*MAX(P99-W99,0),0),0)/J99,2),0))</f>
        <v>1.06</v>
      </c>
      <c r="AJ99" s="45">
        <f t="shared" si="44"/>
        <v>0</v>
      </c>
      <c r="AK99" s="45">
        <f t="shared" si="44"/>
        <v>60083.394614739431</v>
      </c>
      <c r="AL99" s="47">
        <f t="shared" si="45"/>
        <v>1.2</v>
      </c>
      <c r="AM99" s="47">
        <f t="shared" si="45"/>
        <v>2.14</v>
      </c>
      <c r="AN99" s="87">
        <f>IFERROR(INDEX(FeeCalc!P:P,MATCH(C99,FeeCalc!F:F,0)),0)</f>
        <v>121300.43818447394</v>
      </c>
      <c r="AO99" s="87">
        <f>IFERROR(INDEX(FeeCalc!S:S,MATCH(C99,FeeCalc!F:F,0)),0)</f>
        <v>7429.9303703931773</v>
      </c>
      <c r="AP99" s="87">
        <f t="shared" si="46"/>
        <v>128730.36855486712</v>
      </c>
      <c r="AQ99" s="72">
        <f t="shared" si="47"/>
        <v>54624.41474962388</v>
      </c>
      <c r="AR99" s="72">
        <f t="shared" si="48"/>
        <v>27312.20737481194</v>
      </c>
      <c r="AS99" s="72">
        <f t="shared" si="49"/>
        <v>27312.20737481194</v>
      </c>
      <c r="AT99" s="72">
        <f>IFERROR(IFERROR(INDEX('2023 IP UPL Data'!L:L,MATCH(A:A,'2023 IP UPL Data'!B:B,0)),INDEX('2023 IMD UPL Data'!I:I,MATCH(A:A,'2023 IMD UPL Data'!B:B,0))),0)</f>
        <v>0.01</v>
      </c>
      <c r="AU99" s="72">
        <f>IFERROR(IF(F97="IMD",0,INDEX('2023 OP UPL Data'!J:J,MATCH(A:A,'2023 OP UPL Data'!B:B,0))),0)</f>
        <v>38907.277108433729</v>
      </c>
      <c r="AV99" s="45">
        <f t="shared" si="50"/>
        <v>38907.287108433731</v>
      </c>
      <c r="AW99" s="72">
        <f>IFERROR(IFERROR(INDEX('2023 IP UPL Data'!M:M,MATCH(A:A,'2023 IP UPL Data'!B:B,0)),INDEX('2023 IMD UPL Data'!K:K,MATCH(A:A,'2023 IMD UPL Data'!B:B,0))),0)</f>
        <v>14183.68</v>
      </c>
      <c r="AX99" s="72">
        <f>IFERROR(IF(F97="IMD",0,INDEX('2023 OP UPL Data'!L:L,MATCH(A:A,'2023 OP UPL Data'!B:B,0))),0)</f>
        <v>115435.83</v>
      </c>
      <c r="AY99" s="45">
        <f t="shared" si="51"/>
        <v>129619.51000000001</v>
      </c>
      <c r="AZ99" s="72">
        <v>50802.016839566008</v>
      </c>
      <c r="BA99" s="72">
        <v>186455.07878507453</v>
      </c>
      <c r="BB99" s="72">
        <f t="shared" si="52"/>
        <v>50802.016839566008</v>
      </c>
      <c r="BC99" s="72">
        <f t="shared" si="52"/>
        <v>125238.03521534002</v>
      </c>
      <c r="BD99" s="72">
        <f t="shared" si="53"/>
        <v>176040.05205490603</v>
      </c>
      <c r="BE99" s="94">
        <f t="shared" si="54"/>
        <v>36618.336839566007</v>
      </c>
      <c r="BF99" s="94">
        <f t="shared" si="54"/>
        <v>71019.248785074524</v>
      </c>
      <c r="BG99" s="73">
        <f>IFERROR(INDEX('2023 IP UPL Data'!K:K,MATCH(A99,'2023 IP UPL Data'!B:B,0)),0)</f>
        <v>0</v>
      </c>
    </row>
    <row r="100" spans="1:59">
      <c r="A100" s="124" t="s">
        <v>3073</v>
      </c>
      <c r="B100" s="149" t="s">
        <v>3073</v>
      </c>
      <c r="C100" s="31" t="s">
        <v>3074</v>
      </c>
      <c r="D100" s="181" t="s">
        <v>3074</v>
      </c>
      <c r="E100" s="144" t="s">
        <v>3476</v>
      </c>
      <c r="F100" s="120" t="s">
        <v>2718</v>
      </c>
      <c r="G100" s="120" t="s">
        <v>1366</v>
      </c>
      <c r="H100" s="43" t="str">
        <f t="shared" si="34"/>
        <v>Urban Tarrant</v>
      </c>
      <c r="I100" s="45">
        <f>INDEX(FeeCalc!M:M,MATCH(C:C,FeeCalc!F:F,0))</f>
        <v>225709.90145552272</v>
      </c>
      <c r="J100" s="45">
        <f>INDEX(FeeCalc!L:L,MATCH(C:C,FeeCalc!F:F,0))</f>
        <v>541583.04208802001</v>
      </c>
      <c r="K100" s="45">
        <f t="shared" si="35"/>
        <v>767292.94354354276</v>
      </c>
      <c r="L100" s="45">
        <f>IFERROR(IFERROR(INDEX('2023 IP UPL Data'!N:N,MATCH(A:A,'2023 IP UPL Data'!B:B,0)),INDEX('2023 IMD UPL Data'!M:M,MATCH(A:A,'2023 IMD UPL Data'!B:B,0))),0)</f>
        <v>710670.91999999993</v>
      </c>
      <c r="M100" s="45">
        <f>IFERROR((IF(F100="IMD",0,INDEX('2023 OP UPL Data'!M:M,MATCH(A:A,'2023 OP UPL Data'!B:B,0)))),0)</f>
        <v>295219.81</v>
      </c>
      <c r="N100" s="45">
        <f t="shared" si="36"/>
        <v>1005890.73</v>
      </c>
      <c r="O100" s="45">
        <v>1530473.5860158736</v>
      </c>
      <c r="P100" s="45">
        <v>901582.11605114816</v>
      </c>
      <c r="Q100" s="45">
        <f t="shared" si="37"/>
        <v>2432055.7020670217</v>
      </c>
      <c r="R100" s="45" t="str">
        <f t="shared" si="38"/>
        <v>Yes</v>
      </c>
      <c r="S100" s="46" t="str">
        <f t="shared" si="38"/>
        <v>Yes</v>
      </c>
      <c r="T100" s="47">
        <f>ROUND(INDEX(Summary!H:H,MATCH(H:H,Summary!A:A,0)),2)</f>
        <v>1.68</v>
      </c>
      <c r="U100" s="47">
        <f>ROUND(INDEX(Summary!I:I,MATCH(H:H,Summary!A:A,0)),2)</f>
        <v>1.42</v>
      </c>
      <c r="V100" s="85">
        <f t="shared" si="39"/>
        <v>379192.63444527815</v>
      </c>
      <c r="W100" s="85">
        <f t="shared" si="39"/>
        <v>769047.91976498836</v>
      </c>
      <c r="X100" s="45">
        <f t="shared" si="40"/>
        <v>1148240.5542102666</v>
      </c>
      <c r="Y100" s="45" t="s">
        <v>3223</v>
      </c>
      <c r="Z100" s="45" t="str">
        <f t="shared" si="41"/>
        <v>Yes</v>
      </c>
      <c r="AA100" s="45" t="str">
        <f t="shared" si="41"/>
        <v>Yes</v>
      </c>
      <c r="AB100" s="45" t="str">
        <f t="shared" si="42"/>
        <v>Yes</v>
      </c>
      <c r="AC100" s="86">
        <f t="shared" si="55"/>
        <v>3.55</v>
      </c>
      <c r="AD100" s="86">
        <f t="shared" si="56"/>
        <v>0.17</v>
      </c>
      <c r="AE100" s="45">
        <f t="shared" si="57"/>
        <v>801270.1501671056</v>
      </c>
      <c r="AF100" s="45">
        <f t="shared" si="57"/>
        <v>92069.117154963402</v>
      </c>
      <c r="AG100" s="45">
        <f t="shared" si="43"/>
        <v>893339.26732206903</v>
      </c>
      <c r="AH100" s="47">
        <f>IF(Y100="No",0,IFERROR(ROUNDDOWN(INDEX('90% of ACR'!K:K,MATCH(H:H,'90% of ACR'!A:A,0))*IF(I100&gt;0,IF(O100&gt;0,$R$4*MAX(O100-V100,0),0),0)/I100,2),0))</f>
        <v>3.55</v>
      </c>
      <c r="AI100" s="86">
        <f>IF(Y100="No",0,IFERROR(ROUNDDOWN(INDEX('90% of ACR'!R:R,MATCH(H:H,'90% of ACR'!A:A,0))*IF(J100&gt;0,IF(P100&gt;0,$R$4*MAX(P100-W100,0),0),0)/J100,2),0))</f>
        <v>0.13</v>
      </c>
      <c r="AJ100" s="45">
        <f t="shared" si="44"/>
        <v>801270.1501671056</v>
      </c>
      <c r="AK100" s="45">
        <f t="shared" si="44"/>
        <v>70405.795471442601</v>
      </c>
      <c r="AL100" s="47">
        <f t="shared" si="45"/>
        <v>5.2299999999999995</v>
      </c>
      <c r="AM100" s="47">
        <f t="shared" si="45"/>
        <v>1.5499999999999998</v>
      </c>
      <c r="AN100" s="87">
        <f>IFERROR(INDEX(FeeCalc!P:P,MATCH(C100,FeeCalc!F:F,0)),0)</f>
        <v>2019916.4998488147</v>
      </c>
      <c r="AO100" s="87">
        <f>IFERROR(INDEX(FeeCalc!S:S,MATCH(C100,FeeCalc!F:F,0)),0)</f>
        <v>125115.83122599403</v>
      </c>
      <c r="AP100" s="87">
        <f t="shared" si="46"/>
        <v>2145032.3310748087</v>
      </c>
      <c r="AQ100" s="72">
        <f t="shared" si="47"/>
        <v>910205.85910963593</v>
      </c>
      <c r="AR100" s="72">
        <f t="shared" si="48"/>
        <v>455102.92955481797</v>
      </c>
      <c r="AS100" s="72">
        <f t="shared" si="49"/>
        <v>455102.92955481797</v>
      </c>
      <c r="AT100" s="72">
        <f>IFERROR(IFERROR(INDEX('2023 IP UPL Data'!L:L,MATCH(A:A,'2023 IP UPL Data'!B:B,0)),INDEX('2023 IMD UPL Data'!I:I,MATCH(A:A,'2023 IMD UPL Data'!B:B,0))),0)</f>
        <v>341682.36000000004</v>
      </c>
      <c r="AU100" s="72">
        <f>IFERROR(IF(F98="IMD",0,INDEX('2023 OP UPL Data'!J:J,MATCH(A:A,'2023 OP UPL Data'!B:B,0))),0)</f>
        <v>316964.52999999997</v>
      </c>
      <c r="AV100" s="45">
        <f t="shared" si="50"/>
        <v>658646.89</v>
      </c>
      <c r="AW100" s="72">
        <f>IFERROR(IFERROR(INDEX('2023 IP UPL Data'!M:M,MATCH(A:A,'2023 IP UPL Data'!B:B,0)),INDEX('2023 IMD UPL Data'!K:K,MATCH(A:A,'2023 IMD UPL Data'!B:B,0))),0)</f>
        <v>1052353.28</v>
      </c>
      <c r="AX100" s="72">
        <f>IFERROR(IF(F98="IMD",0,INDEX('2023 OP UPL Data'!L:L,MATCH(A:A,'2023 OP UPL Data'!B:B,0))),0)</f>
        <v>612184.34</v>
      </c>
      <c r="AY100" s="45">
        <f t="shared" si="51"/>
        <v>1664537.62</v>
      </c>
      <c r="AZ100" s="72">
        <v>1872155.9460158737</v>
      </c>
      <c r="BA100" s="72">
        <v>1218546.6460511482</v>
      </c>
      <c r="BB100" s="72">
        <f t="shared" si="52"/>
        <v>1492963.3115705955</v>
      </c>
      <c r="BC100" s="72">
        <f t="shared" si="52"/>
        <v>449498.72628615983</v>
      </c>
      <c r="BD100" s="72">
        <f t="shared" si="53"/>
        <v>1942462.0378567553</v>
      </c>
      <c r="BE100" s="94">
        <f t="shared" si="54"/>
        <v>819802.66601587366</v>
      </c>
      <c r="BF100" s="94">
        <f t="shared" si="54"/>
        <v>606362.30605114822</v>
      </c>
      <c r="BG100" s="73">
        <f>IFERROR(INDEX('2023 IP UPL Data'!K:K,MATCH(A100,'2023 IP UPL Data'!B:B,0)),0)</f>
        <v>0</v>
      </c>
    </row>
    <row r="101" spans="1:59">
      <c r="A101" s="124" t="s">
        <v>7</v>
      </c>
      <c r="B101" s="149" t="s">
        <v>7</v>
      </c>
      <c r="C101" s="31" t="s">
        <v>8</v>
      </c>
      <c r="D101" s="181" t="s">
        <v>8</v>
      </c>
      <c r="E101" s="144" t="s">
        <v>3477</v>
      </c>
      <c r="F101" s="120" t="s">
        <v>2718</v>
      </c>
      <c r="G101" s="120" t="s">
        <v>1366</v>
      </c>
      <c r="H101" s="43" t="str">
        <f t="shared" si="34"/>
        <v>Urban Tarrant</v>
      </c>
      <c r="I101" s="45">
        <f>INDEX(FeeCalc!M:M,MATCH(C:C,FeeCalc!F:F,0))</f>
        <v>111591.43550843044</v>
      </c>
      <c r="J101" s="45">
        <f>INDEX(FeeCalc!L:L,MATCH(C:C,FeeCalc!F:F,0))</f>
        <v>45894.810650736683</v>
      </c>
      <c r="K101" s="45">
        <f t="shared" si="35"/>
        <v>157486.24615916712</v>
      </c>
      <c r="L101" s="45">
        <f>IFERROR(IFERROR(INDEX('2023 IP UPL Data'!N:N,MATCH(A:A,'2023 IP UPL Data'!B:B,0)),INDEX('2023 IMD UPL Data'!M:M,MATCH(A:A,'2023 IMD UPL Data'!B:B,0))),0)</f>
        <v>125164.85750000004</v>
      </c>
      <c r="M101" s="45">
        <f>IFERROR((IF(F101="IMD",0,INDEX('2023 OP UPL Data'!M:M,MATCH(A:A,'2023 OP UPL Data'!B:B,0)))),0)</f>
        <v>278028.09000000003</v>
      </c>
      <c r="N101" s="45">
        <f t="shared" si="36"/>
        <v>403192.94750000007</v>
      </c>
      <c r="O101" s="45">
        <v>568568.51455453446</v>
      </c>
      <c r="P101" s="45">
        <v>322762.86320973409</v>
      </c>
      <c r="Q101" s="45">
        <f t="shared" si="37"/>
        <v>891331.37776426855</v>
      </c>
      <c r="R101" s="45" t="str">
        <f t="shared" si="38"/>
        <v>Yes</v>
      </c>
      <c r="S101" s="46" t="str">
        <f t="shared" si="38"/>
        <v>Yes</v>
      </c>
      <c r="T101" s="47">
        <f>ROUND(INDEX(Summary!H:H,MATCH(H:H,Summary!A:A,0)),2)</f>
        <v>1.68</v>
      </c>
      <c r="U101" s="47">
        <f>ROUND(INDEX(Summary!I:I,MATCH(H:H,Summary!A:A,0)),2)</f>
        <v>1.42</v>
      </c>
      <c r="V101" s="85">
        <f t="shared" si="39"/>
        <v>187473.61165416313</v>
      </c>
      <c r="W101" s="85">
        <f t="shared" si="39"/>
        <v>65170.631124046085</v>
      </c>
      <c r="X101" s="45">
        <f t="shared" si="40"/>
        <v>252644.24277820921</v>
      </c>
      <c r="Y101" s="45" t="s">
        <v>3223</v>
      </c>
      <c r="Z101" s="45" t="str">
        <f t="shared" si="41"/>
        <v>Yes</v>
      </c>
      <c r="AA101" s="45" t="str">
        <f t="shared" si="41"/>
        <v>Yes</v>
      </c>
      <c r="AB101" s="45" t="str">
        <f t="shared" si="42"/>
        <v>Yes</v>
      </c>
      <c r="AC101" s="86">
        <f t="shared" si="55"/>
        <v>2.38</v>
      </c>
      <c r="AD101" s="86">
        <f t="shared" si="56"/>
        <v>3.91</v>
      </c>
      <c r="AE101" s="45">
        <f t="shared" si="57"/>
        <v>265587.61651006446</v>
      </c>
      <c r="AF101" s="45">
        <f t="shared" si="57"/>
        <v>179448.70964438043</v>
      </c>
      <c r="AG101" s="45">
        <f t="shared" si="43"/>
        <v>445036.32615444489</v>
      </c>
      <c r="AH101" s="47">
        <f>IF(Y101="No",0,IFERROR(ROUNDDOWN(INDEX('90% of ACR'!K:K,MATCH(H:H,'90% of ACR'!A:A,0))*IF(I101&gt;0,IF(O101&gt;0,$R$4*MAX(O101-V101,0),0),0)/I101,2),0))</f>
        <v>2.37</v>
      </c>
      <c r="AI101" s="86">
        <f>IF(Y101="No",0,IFERROR(ROUNDDOWN(INDEX('90% of ACR'!R:R,MATCH(H:H,'90% of ACR'!A:A,0))*IF(J101&gt;0,IF(P101&gt;0,$R$4*MAX(P101-W101,0),0),0)/J101,2),0))</f>
        <v>3.18</v>
      </c>
      <c r="AJ101" s="45">
        <f t="shared" si="44"/>
        <v>264471.70215498016</v>
      </c>
      <c r="AK101" s="45">
        <f t="shared" si="44"/>
        <v>145945.49786934265</v>
      </c>
      <c r="AL101" s="47">
        <f t="shared" si="45"/>
        <v>4.05</v>
      </c>
      <c r="AM101" s="47">
        <f t="shared" si="45"/>
        <v>4.5999999999999996</v>
      </c>
      <c r="AN101" s="87">
        <f>IFERROR(INDEX(FeeCalc!P:P,MATCH(C101,FeeCalc!F:F,0)),0)</f>
        <v>663061.44280253199</v>
      </c>
      <c r="AO101" s="87">
        <f>IFERROR(INDEX(FeeCalc!S:S,MATCH(C101,FeeCalc!F:F,0)),0)</f>
        <v>41830.596170221484</v>
      </c>
      <c r="AP101" s="87">
        <f t="shared" si="46"/>
        <v>704892.03897275345</v>
      </c>
      <c r="AQ101" s="72">
        <f t="shared" si="47"/>
        <v>299108.24868138647</v>
      </c>
      <c r="AR101" s="72">
        <f t="shared" si="48"/>
        <v>149554.12434069323</v>
      </c>
      <c r="AS101" s="72">
        <f t="shared" si="49"/>
        <v>149554.12434069323</v>
      </c>
      <c r="AT101" s="72">
        <f>IFERROR(IFERROR(INDEX('2023 IP UPL Data'!L:L,MATCH(A:A,'2023 IP UPL Data'!B:B,0)),INDEX('2023 IMD UPL Data'!I:I,MATCH(A:A,'2023 IMD UPL Data'!B:B,0))),0)</f>
        <v>141934.91249999998</v>
      </c>
      <c r="AU101" s="72">
        <f>IFERROR(IF(F99="IMD",0,INDEX('2023 OP UPL Data'!J:J,MATCH(A:A,'2023 OP UPL Data'!B:B,0))),0)</f>
        <v>60400.35</v>
      </c>
      <c r="AV101" s="45">
        <f t="shared" si="50"/>
        <v>202335.26249999998</v>
      </c>
      <c r="AW101" s="72">
        <f>IFERROR(IFERROR(INDEX('2023 IP UPL Data'!M:M,MATCH(A:A,'2023 IP UPL Data'!B:B,0)),INDEX('2023 IMD UPL Data'!K:K,MATCH(A:A,'2023 IMD UPL Data'!B:B,0))),0)</f>
        <v>267099.77</v>
      </c>
      <c r="AX101" s="72">
        <f>IFERROR(IF(F99="IMD",0,INDEX('2023 OP UPL Data'!L:L,MATCH(A:A,'2023 OP UPL Data'!B:B,0))),0)</f>
        <v>338428.44</v>
      </c>
      <c r="AY101" s="45">
        <f t="shared" si="51"/>
        <v>605528.21</v>
      </c>
      <c r="AZ101" s="72">
        <v>710503.42705453443</v>
      </c>
      <c r="BA101" s="72">
        <v>383163.21320973407</v>
      </c>
      <c r="BB101" s="72">
        <f t="shared" si="52"/>
        <v>523029.81540037133</v>
      </c>
      <c r="BC101" s="72">
        <f t="shared" si="52"/>
        <v>317992.58208568796</v>
      </c>
      <c r="BD101" s="72">
        <f t="shared" si="53"/>
        <v>841022.39748605923</v>
      </c>
      <c r="BE101" s="94">
        <f t="shared" si="54"/>
        <v>443403.65705453441</v>
      </c>
      <c r="BF101" s="94">
        <f t="shared" si="54"/>
        <v>44734.773209734063</v>
      </c>
      <c r="BG101" s="73">
        <f>IFERROR(INDEX('2023 IP UPL Data'!K:K,MATCH(A101,'2023 IP UPL Data'!B:B,0)),0)</f>
        <v>0</v>
      </c>
    </row>
    <row r="102" spans="1:59" ht="25.5">
      <c r="A102" s="124" t="s">
        <v>1307</v>
      </c>
      <c r="B102" s="149" t="s">
        <v>1307</v>
      </c>
      <c r="C102" s="31" t="s">
        <v>1308</v>
      </c>
      <c r="D102" s="181" t="s">
        <v>1308</v>
      </c>
      <c r="E102" s="144" t="s">
        <v>3193</v>
      </c>
      <c r="F102" s="120" t="s">
        <v>3069</v>
      </c>
      <c r="G102" s="120" t="s">
        <v>487</v>
      </c>
      <c r="H102" s="43" t="str">
        <f t="shared" si="34"/>
        <v>Non-state-owned IMD Bexar</v>
      </c>
      <c r="I102" s="45">
        <f>INDEX(FeeCalc!M:M,MATCH(C:C,FeeCalc!F:F,0))</f>
        <v>5314285.9620712847</v>
      </c>
      <c r="J102" s="45">
        <f>INDEX(FeeCalc!L:L,MATCH(C:C,FeeCalc!F:F,0))</f>
        <v>0</v>
      </c>
      <c r="K102" s="45">
        <f t="shared" si="35"/>
        <v>5314285.9620712847</v>
      </c>
      <c r="L102" s="45">
        <f>IFERROR(IFERROR(INDEX('2023 IP UPL Data'!N:N,MATCH(A:A,'2023 IP UPL Data'!B:B,0)),INDEX('2023 IMD UPL Data'!M:M,MATCH(A:A,'2023 IMD UPL Data'!B:B,0))),0)</f>
        <v>1613581.56</v>
      </c>
      <c r="M102" s="45">
        <f>IFERROR((IF(F102="IMD",0,INDEX('2023 OP UPL Data'!M:M,MATCH(A:A,'2023 OP UPL Data'!B:B,0)))),0)</f>
        <v>0</v>
      </c>
      <c r="N102" s="45">
        <f t="shared" si="36"/>
        <v>1613581.56</v>
      </c>
      <c r="O102" s="45">
        <v>1908653.619049646</v>
      </c>
      <c r="P102" s="45">
        <v>0</v>
      </c>
      <c r="Q102" s="45">
        <f t="shared" si="37"/>
        <v>1908653.619049646</v>
      </c>
      <c r="R102" s="45" t="str">
        <f t="shared" si="38"/>
        <v>Yes</v>
      </c>
      <c r="S102" s="46" t="str">
        <f t="shared" si="38"/>
        <v>No</v>
      </c>
      <c r="T102" s="47">
        <f>ROUND(INDEX(Summary!H:H,MATCH(H:H,Summary!A:A,0)),2)</f>
        <v>0.14000000000000001</v>
      </c>
      <c r="U102" s="47">
        <f>ROUND(INDEX(Summary!I:I,MATCH(H:H,Summary!A:A,0)),2)</f>
        <v>0</v>
      </c>
      <c r="V102" s="85">
        <f t="shared" si="39"/>
        <v>744000.03468997998</v>
      </c>
      <c r="W102" s="85">
        <f t="shared" si="39"/>
        <v>0</v>
      </c>
      <c r="X102" s="45">
        <f t="shared" si="40"/>
        <v>744000.03468997998</v>
      </c>
      <c r="Y102" s="45" t="s">
        <v>3223</v>
      </c>
      <c r="Z102" s="45" t="str">
        <f t="shared" si="41"/>
        <v>No</v>
      </c>
      <c r="AA102" s="45" t="str">
        <f t="shared" si="41"/>
        <v>No</v>
      </c>
      <c r="AB102" s="45" t="str">
        <f t="shared" si="42"/>
        <v>Yes</v>
      </c>
      <c r="AC102" s="86">
        <f t="shared" si="55"/>
        <v>0.15</v>
      </c>
      <c r="AD102" s="86">
        <f t="shared" si="56"/>
        <v>0</v>
      </c>
      <c r="AE102" s="45">
        <f t="shared" si="57"/>
        <v>797142.89431069267</v>
      </c>
      <c r="AF102" s="45">
        <f t="shared" si="57"/>
        <v>0</v>
      </c>
      <c r="AG102" s="45">
        <f t="shared" si="43"/>
        <v>797142.89431069267</v>
      </c>
      <c r="AH102" s="47">
        <f>IF(Y102="No",0,IFERROR(ROUNDDOWN(INDEX('90% of ACR'!K:K,MATCH(H:H,'90% of ACR'!A:A,0))*IF(I102&gt;0,IF(O102&gt;0,$R$4*MAX(O102-V102,0),0),0)/I102,2),0))</f>
        <v>0</v>
      </c>
      <c r="AI102" s="86">
        <f>IF(Y102="No",0,IFERROR(ROUNDDOWN(INDEX('90% of ACR'!R:R,MATCH(H:H,'90% of ACR'!A:A,0))*IF(J102&gt;0,IF(P102&gt;0,$R$4*MAX(P102-W102,0),0),0)/J102,2),0))</f>
        <v>0</v>
      </c>
      <c r="AJ102" s="45">
        <f t="shared" si="44"/>
        <v>0</v>
      </c>
      <c r="AK102" s="45">
        <f t="shared" si="44"/>
        <v>0</v>
      </c>
      <c r="AL102" s="47">
        <f t="shared" si="45"/>
        <v>0.14000000000000001</v>
      </c>
      <c r="AM102" s="47">
        <f t="shared" si="45"/>
        <v>0</v>
      </c>
      <c r="AN102" s="87">
        <f>IFERROR(INDEX(FeeCalc!P:P,MATCH(C102,FeeCalc!F:F,0)),0)</f>
        <v>744000.03468997998</v>
      </c>
      <c r="AO102" s="87">
        <f>IFERROR(INDEX(FeeCalc!S:S,MATCH(C102,FeeCalc!F:F,0)),0)</f>
        <v>45389.922540768006</v>
      </c>
      <c r="AP102" s="87">
        <f t="shared" si="46"/>
        <v>789389.95723074803</v>
      </c>
      <c r="AQ102" s="72">
        <f t="shared" si="47"/>
        <v>334963.41933163785</v>
      </c>
      <c r="AR102" s="72">
        <f t="shared" si="48"/>
        <v>167481.70966581893</v>
      </c>
      <c r="AS102" s="72">
        <f t="shared" si="49"/>
        <v>167481.70966581893</v>
      </c>
      <c r="AT102" s="72">
        <f>IFERROR(IFERROR(INDEX('2023 IP UPL Data'!L:L,MATCH(A:A,'2023 IP UPL Data'!B:B,0)),INDEX('2023 IMD UPL Data'!I:I,MATCH(A:A,'2023 IMD UPL Data'!B:B,0))),0)</f>
        <v>4314195.0999999996</v>
      </c>
      <c r="AU102" s="72">
        <f>IFERROR(IF(F100="IMD",0,INDEX('2023 OP UPL Data'!J:J,MATCH(A:A,'2023 OP UPL Data'!B:B,0))),0)</f>
        <v>0</v>
      </c>
      <c r="AV102" s="45">
        <f t="shared" si="50"/>
        <v>4314195.0999999996</v>
      </c>
      <c r="AW102" s="72">
        <f>IFERROR(IFERROR(INDEX('2023 IP UPL Data'!M:M,MATCH(A:A,'2023 IP UPL Data'!B:B,0)),INDEX('2023 IMD UPL Data'!K:K,MATCH(A:A,'2023 IMD UPL Data'!B:B,0))),0)</f>
        <v>1613581.56</v>
      </c>
      <c r="AX102" s="72">
        <f>IFERROR(IF(F100="IMD",0,INDEX('2023 OP UPL Data'!L:L,MATCH(A:A,'2023 OP UPL Data'!B:B,0))),0)</f>
        <v>0</v>
      </c>
      <c r="AY102" s="45">
        <f t="shared" si="51"/>
        <v>1613581.56</v>
      </c>
      <c r="AZ102" s="72">
        <v>6222848.7190496456</v>
      </c>
      <c r="BA102" s="72">
        <v>0</v>
      </c>
      <c r="BB102" s="72">
        <f t="shared" si="52"/>
        <v>5478848.684359666</v>
      </c>
      <c r="BC102" s="72">
        <f t="shared" si="52"/>
        <v>0</v>
      </c>
      <c r="BD102" s="72">
        <f t="shared" si="53"/>
        <v>5478848.684359666</v>
      </c>
      <c r="BE102" s="94">
        <f t="shared" si="54"/>
        <v>4609267.1590496451</v>
      </c>
      <c r="BF102" s="94">
        <f t="shared" si="54"/>
        <v>0</v>
      </c>
      <c r="BG102" s="73">
        <f>IFERROR(INDEX('2023 IP UPL Data'!K:K,MATCH(A102,'2023 IP UPL Data'!B:B,0)),0)</f>
        <v>0</v>
      </c>
    </row>
    <row r="103" spans="1:59">
      <c r="A103" s="149" t="s">
        <v>3156</v>
      </c>
      <c r="B103" s="149" t="s">
        <v>3156</v>
      </c>
      <c r="C103" s="181" t="s">
        <v>3155</v>
      </c>
      <c r="D103" s="181" t="s">
        <v>3155</v>
      </c>
      <c r="E103" s="144" t="s">
        <v>3478</v>
      </c>
      <c r="F103" s="120" t="s">
        <v>2718</v>
      </c>
      <c r="G103" s="120" t="s">
        <v>1489</v>
      </c>
      <c r="H103" s="43" t="str">
        <f t="shared" si="34"/>
        <v>Urban MRSA Central</v>
      </c>
      <c r="I103" s="45">
        <f>INDEX(FeeCalc!M:M,MATCH(C:C,FeeCalc!F:F,0))</f>
        <v>39254.966149762935</v>
      </c>
      <c r="J103" s="45">
        <f>INDEX(FeeCalc!L:L,MATCH(C:C,FeeCalc!F:F,0))</f>
        <v>0</v>
      </c>
      <c r="K103" s="45">
        <f t="shared" si="35"/>
        <v>39254.966149762935</v>
      </c>
      <c r="L103" s="45">
        <f>IFERROR(IFERROR(INDEX('2023 IP UPL Data'!N:N,MATCH(A:A,'2023 IP UPL Data'!B:B,0)),INDEX('2023 IMD UPL Data'!M:M,MATCH(A:A,'2023 IMD UPL Data'!B:B,0))),0)</f>
        <v>0</v>
      </c>
      <c r="M103" s="45">
        <f>IFERROR((IF(F103="IMD",0,INDEX('2023 OP UPL Data'!M:M,MATCH(A:A,'2023 OP UPL Data'!B:B,0)))),0)</f>
        <v>0</v>
      </c>
      <c r="N103" s="45">
        <f t="shared" si="36"/>
        <v>0</v>
      </c>
      <c r="O103" s="45">
        <v>0</v>
      </c>
      <c r="P103" s="45">
        <v>0</v>
      </c>
      <c r="Q103" s="45">
        <f t="shared" si="37"/>
        <v>0</v>
      </c>
      <c r="R103" s="45" t="str">
        <f t="shared" si="38"/>
        <v>No</v>
      </c>
      <c r="S103" s="46" t="str">
        <f t="shared" si="38"/>
        <v>No</v>
      </c>
      <c r="T103" s="47">
        <f>ROUND(INDEX(Summary!H:H,MATCH(H:H,Summary!A:A,0)),2)</f>
        <v>0.78</v>
      </c>
      <c r="U103" s="47">
        <f>ROUND(INDEX(Summary!I:I,MATCH(H:H,Summary!A:A,0)),2)</f>
        <v>1.29</v>
      </c>
      <c r="V103" s="85">
        <f t="shared" si="39"/>
        <v>30618.87359681509</v>
      </c>
      <c r="W103" s="85">
        <f t="shared" si="39"/>
        <v>0</v>
      </c>
      <c r="X103" s="45">
        <f t="shared" si="40"/>
        <v>30618.87359681509</v>
      </c>
      <c r="Y103" s="45" t="s">
        <v>3223</v>
      </c>
      <c r="Z103" s="45" t="str">
        <f t="shared" si="41"/>
        <v>No</v>
      </c>
      <c r="AA103" s="45" t="str">
        <f t="shared" si="41"/>
        <v>No</v>
      </c>
      <c r="AB103" s="45" t="str">
        <f t="shared" si="42"/>
        <v>No</v>
      </c>
      <c r="AC103" s="86">
        <f t="shared" si="55"/>
        <v>0</v>
      </c>
      <c r="AD103" s="86">
        <f t="shared" si="56"/>
        <v>0</v>
      </c>
      <c r="AE103" s="45">
        <f t="shared" si="57"/>
        <v>0</v>
      </c>
      <c r="AF103" s="45">
        <f t="shared" si="57"/>
        <v>0</v>
      </c>
      <c r="AG103" s="45">
        <f t="shared" si="43"/>
        <v>0</v>
      </c>
      <c r="AH103" s="47">
        <f>IF(Y103="No",0,IFERROR(ROUNDDOWN(INDEX('90% of ACR'!K:K,MATCH(H:H,'90% of ACR'!A:A,0))*IF(I103&gt;0,IF(O103&gt;0,$R$4*MAX(O103-V103,0),0),0)/I103,2),0))</f>
        <v>0</v>
      </c>
      <c r="AI103" s="86">
        <f>IF(Y103="No",0,IFERROR(ROUNDDOWN(INDEX('90% of ACR'!R:R,MATCH(H:H,'90% of ACR'!A:A,0))*IF(J103&gt;0,IF(P103&gt;0,$R$4*MAX(P103-W103,0),0),0)/J103,2),0))</f>
        <v>0</v>
      </c>
      <c r="AJ103" s="45">
        <f t="shared" si="44"/>
        <v>0</v>
      </c>
      <c r="AK103" s="45">
        <f t="shared" si="44"/>
        <v>0</v>
      </c>
      <c r="AL103" s="47">
        <f t="shared" si="45"/>
        <v>0.78</v>
      </c>
      <c r="AM103" s="47">
        <f t="shared" si="45"/>
        <v>1.29</v>
      </c>
      <c r="AN103" s="87">
        <f>IFERROR(INDEX(FeeCalc!P:P,MATCH(C103,FeeCalc!F:F,0)),0)</f>
        <v>30618.87359681509</v>
      </c>
      <c r="AO103" s="87">
        <f>IFERROR(INDEX(FeeCalc!S:S,MATCH(C103,FeeCalc!F:F,0)),0)</f>
        <v>1933.033446987278</v>
      </c>
      <c r="AP103" s="87">
        <f t="shared" si="46"/>
        <v>32551.90704380237</v>
      </c>
      <c r="AQ103" s="72">
        <f t="shared" si="47"/>
        <v>13812.815819710748</v>
      </c>
      <c r="AR103" s="72">
        <f t="shared" si="48"/>
        <v>6906.4079098553739</v>
      </c>
      <c r="AS103" s="72">
        <f t="shared" si="49"/>
        <v>6906.4079098553739</v>
      </c>
      <c r="AT103" s="72">
        <f>IFERROR(IFERROR(INDEX('2023 IP UPL Data'!L:L,MATCH(A:A,'2023 IP UPL Data'!B:B,0)),INDEX('2023 IMD UPL Data'!I:I,MATCH(A:A,'2023 IMD UPL Data'!B:B,0))),0)</f>
        <v>0</v>
      </c>
      <c r="AU103" s="72">
        <f>IFERROR(IF(F101="IMD",0,INDEX('2023 OP UPL Data'!J:J,MATCH(A:A,'2023 OP UPL Data'!B:B,0))),0)</f>
        <v>0</v>
      </c>
      <c r="AV103" s="45">
        <f t="shared" si="50"/>
        <v>0</v>
      </c>
      <c r="AW103" s="72">
        <f>IFERROR(IFERROR(INDEX('2023 IP UPL Data'!M:M,MATCH(A:A,'2023 IP UPL Data'!B:B,0)),INDEX('2023 IMD UPL Data'!K:K,MATCH(A:A,'2023 IMD UPL Data'!B:B,0))),0)</f>
        <v>0</v>
      </c>
      <c r="AX103" s="72">
        <f>IFERROR(IF(F101="IMD",0,INDEX('2023 OP UPL Data'!L:L,MATCH(A:A,'2023 OP UPL Data'!B:B,0))),0)</f>
        <v>0</v>
      </c>
      <c r="AY103" s="45">
        <f t="shared" si="51"/>
        <v>0</v>
      </c>
      <c r="AZ103" s="72">
        <v>0</v>
      </c>
      <c r="BA103" s="72">
        <v>0</v>
      </c>
      <c r="BB103" s="72">
        <f t="shared" si="52"/>
        <v>0</v>
      </c>
      <c r="BC103" s="72">
        <f t="shared" si="52"/>
        <v>0</v>
      </c>
      <c r="BD103" s="72">
        <f t="shared" si="53"/>
        <v>0</v>
      </c>
      <c r="BE103" s="94">
        <f t="shared" si="54"/>
        <v>0</v>
      </c>
      <c r="BF103" s="94">
        <f t="shared" si="54"/>
        <v>0</v>
      </c>
      <c r="BG103" s="73">
        <f>IFERROR(INDEX('2023 IP UPL Data'!K:K,MATCH(A103,'2023 IP UPL Data'!B:B,0)),0)</f>
        <v>0</v>
      </c>
    </row>
    <row r="104" spans="1:59">
      <c r="A104" s="124" t="s">
        <v>509</v>
      </c>
      <c r="B104" s="149" t="s">
        <v>509</v>
      </c>
      <c r="C104" s="31" t="s">
        <v>510</v>
      </c>
      <c r="D104" s="181" t="s">
        <v>510</v>
      </c>
      <c r="E104" s="144" t="s">
        <v>2866</v>
      </c>
      <c r="F104" s="120" t="s">
        <v>2718</v>
      </c>
      <c r="G104" s="120" t="s">
        <v>1366</v>
      </c>
      <c r="H104" s="43" t="str">
        <f t="shared" si="34"/>
        <v>Urban Tarrant</v>
      </c>
      <c r="I104" s="45">
        <f>INDEX(FeeCalc!M:M,MATCH(C:C,FeeCalc!F:F,0))</f>
        <v>15655955.431478776</v>
      </c>
      <c r="J104" s="45">
        <f>INDEX(FeeCalc!L:L,MATCH(C:C,FeeCalc!F:F,0))</f>
        <v>2461251.4417779045</v>
      </c>
      <c r="K104" s="45">
        <f t="shared" si="35"/>
        <v>18117206.87325668</v>
      </c>
      <c r="L104" s="45">
        <f>IFERROR(IFERROR(INDEX('2023 IP UPL Data'!N:N,MATCH(A:A,'2023 IP UPL Data'!B:B,0)),INDEX('2023 IMD UPL Data'!M:M,MATCH(A:A,'2023 IMD UPL Data'!B:B,0))),0)</f>
        <v>18681114.5975</v>
      </c>
      <c r="M104" s="45">
        <f>IFERROR((IF(F104="IMD",0,INDEX('2023 OP UPL Data'!M:M,MATCH(A:A,'2023 OP UPL Data'!B:B,0)))),0)</f>
        <v>4828232.4362499993</v>
      </c>
      <c r="N104" s="45">
        <f t="shared" si="36"/>
        <v>23509347.033749998</v>
      </c>
      <c r="O104" s="45">
        <v>48943139.290803298</v>
      </c>
      <c r="P104" s="45">
        <v>7091695.9354438242</v>
      </c>
      <c r="Q104" s="45">
        <f t="shared" si="37"/>
        <v>56034835.226247124</v>
      </c>
      <c r="R104" s="45" t="str">
        <f t="shared" si="38"/>
        <v>Yes</v>
      </c>
      <c r="S104" s="46" t="str">
        <f t="shared" si="38"/>
        <v>Yes</v>
      </c>
      <c r="T104" s="47">
        <f>ROUND(INDEX(Summary!H:H,MATCH(H:H,Summary!A:A,0)),2)</f>
        <v>1.68</v>
      </c>
      <c r="U104" s="47">
        <f>ROUND(INDEX(Summary!I:I,MATCH(H:H,Summary!A:A,0)),2)</f>
        <v>1.42</v>
      </c>
      <c r="V104" s="85">
        <f t="shared" si="39"/>
        <v>26302005.124884341</v>
      </c>
      <c r="W104" s="85">
        <f t="shared" si="39"/>
        <v>3494977.0473246244</v>
      </c>
      <c r="X104" s="45">
        <f t="shared" si="40"/>
        <v>29796982.172208965</v>
      </c>
      <c r="Y104" s="45" t="s">
        <v>3223</v>
      </c>
      <c r="Z104" s="45" t="str">
        <f t="shared" si="41"/>
        <v>Yes</v>
      </c>
      <c r="AA104" s="45" t="str">
        <f t="shared" si="41"/>
        <v>Yes</v>
      </c>
      <c r="AB104" s="45" t="str">
        <f t="shared" si="42"/>
        <v>Yes</v>
      </c>
      <c r="AC104" s="86">
        <f t="shared" si="55"/>
        <v>1.01</v>
      </c>
      <c r="AD104" s="86">
        <f t="shared" si="56"/>
        <v>1.02</v>
      </c>
      <c r="AE104" s="45">
        <f t="shared" si="57"/>
        <v>15812514.985793564</v>
      </c>
      <c r="AF104" s="45">
        <f t="shared" si="57"/>
        <v>2510476.4706134629</v>
      </c>
      <c r="AG104" s="45">
        <f t="shared" si="43"/>
        <v>18322991.456407025</v>
      </c>
      <c r="AH104" s="47">
        <f>IF(Y104="No",0,IFERROR(ROUNDDOWN(INDEX('90% of ACR'!K:K,MATCH(H:H,'90% of ACR'!A:A,0))*IF(I104&gt;0,IF(O104&gt;0,$R$4*MAX(O104-V104,0),0),0)/I104,2),0))</f>
        <v>1</v>
      </c>
      <c r="AI104" s="86">
        <f>IF(Y104="No",0,IFERROR(ROUNDDOWN(INDEX('90% of ACR'!R:R,MATCH(H:H,'90% of ACR'!A:A,0))*IF(J104&gt;0,IF(P104&gt;0,$R$4*MAX(P104-W104,0),0),0)/J104,2),0))</f>
        <v>0.83</v>
      </c>
      <c r="AJ104" s="45">
        <f t="shared" si="44"/>
        <v>15655955.431478776</v>
      </c>
      <c r="AK104" s="45">
        <f t="shared" si="44"/>
        <v>2042838.6966756606</v>
      </c>
      <c r="AL104" s="47">
        <f t="shared" si="45"/>
        <v>2.6799999999999997</v>
      </c>
      <c r="AM104" s="47">
        <f t="shared" si="45"/>
        <v>2.25</v>
      </c>
      <c r="AN104" s="87">
        <f>IFERROR(INDEX(FeeCalc!P:P,MATCH(C104,FeeCalc!F:F,0)),0)</f>
        <v>47495776.300363399</v>
      </c>
      <c r="AO104" s="87">
        <f>IFERROR(INDEX(FeeCalc!S:S,MATCH(C104,FeeCalc!F:F,0)),0)</f>
        <v>2913009.9654936558</v>
      </c>
      <c r="AP104" s="87">
        <f t="shared" si="46"/>
        <v>50408786.265857056</v>
      </c>
      <c r="AQ104" s="72">
        <f t="shared" si="47"/>
        <v>21390061.093763657</v>
      </c>
      <c r="AR104" s="72">
        <f t="shared" si="48"/>
        <v>10695030.546881828</v>
      </c>
      <c r="AS104" s="72">
        <f t="shared" si="49"/>
        <v>10695030.546881828</v>
      </c>
      <c r="AT104" s="72">
        <f>IFERROR(IFERROR(INDEX('2023 IP UPL Data'!L:L,MATCH(A:A,'2023 IP UPL Data'!B:B,0)),INDEX('2023 IMD UPL Data'!I:I,MATCH(A:A,'2023 IMD UPL Data'!B:B,0))),0)</f>
        <v>14831298.362500001</v>
      </c>
      <c r="AU104" s="72">
        <f>IFERROR(IF(F102="IMD",0,INDEX('2023 OP UPL Data'!J:J,MATCH(A:A,'2023 OP UPL Data'!B:B,0))),0)</f>
        <v>1264923.1937500001</v>
      </c>
      <c r="AV104" s="45">
        <f t="shared" si="50"/>
        <v>16096221.55625</v>
      </c>
      <c r="AW104" s="72">
        <f>IFERROR(IFERROR(INDEX('2023 IP UPL Data'!M:M,MATCH(A:A,'2023 IP UPL Data'!B:B,0)),INDEX('2023 IMD UPL Data'!K:K,MATCH(A:A,'2023 IMD UPL Data'!B:B,0))),0)</f>
        <v>33512412.960000001</v>
      </c>
      <c r="AX104" s="72">
        <f>IFERROR(IF(F102="IMD",0,INDEX('2023 OP UPL Data'!L:L,MATCH(A:A,'2023 OP UPL Data'!B:B,0))),0)</f>
        <v>6093155.6299999999</v>
      </c>
      <c r="AY104" s="45">
        <f t="shared" si="51"/>
        <v>39605568.590000004</v>
      </c>
      <c r="AZ104" s="72">
        <v>63774437.653303303</v>
      </c>
      <c r="BA104" s="72">
        <v>8356619.1291938247</v>
      </c>
      <c r="BB104" s="72">
        <f t="shared" si="52"/>
        <v>37472432.528418958</v>
      </c>
      <c r="BC104" s="72">
        <f t="shared" si="52"/>
        <v>4861642.0818691999</v>
      </c>
      <c r="BD104" s="72">
        <f t="shared" si="53"/>
        <v>42334074.610288158</v>
      </c>
      <c r="BE104" s="94">
        <f t="shared" si="54"/>
        <v>30262024.693303302</v>
      </c>
      <c r="BF104" s="94">
        <f t="shared" si="54"/>
        <v>2263463.4991938248</v>
      </c>
      <c r="BG104" s="73">
        <f>IFERROR(INDEX('2023 IP UPL Data'!K:K,MATCH(A104,'2023 IP UPL Data'!B:B,0)),0)</f>
        <v>0</v>
      </c>
    </row>
    <row r="105" spans="1:59">
      <c r="A105" s="124" t="s">
        <v>1473</v>
      </c>
      <c r="B105" s="149" t="s">
        <v>1473</v>
      </c>
      <c r="C105" s="31" t="s">
        <v>1474</v>
      </c>
      <c r="D105" s="181" t="s">
        <v>1474</v>
      </c>
      <c r="E105" s="144" t="s">
        <v>3479</v>
      </c>
      <c r="F105" s="120" t="s">
        <v>2718</v>
      </c>
      <c r="G105" s="120" t="s">
        <v>1202</v>
      </c>
      <c r="H105" s="43" t="str">
        <f t="shared" si="34"/>
        <v>Urban Travis</v>
      </c>
      <c r="I105" s="45">
        <f>INDEX(FeeCalc!M:M,MATCH(C:C,FeeCalc!F:F,0))</f>
        <v>153208.21443459817</v>
      </c>
      <c r="J105" s="45">
        <f>INDEX(FeeCalc!L:L,MATCH(C:C,FeeCalc!F:F,0))</f>
        <v>430865.4132996804</v>
      </c>
      <c r="K105" s="45">
        <f t="shared" si="35"/>
        <v>584073.62773427856</v>
      </c>
      <c r="L105" s="45">
        <f>IFERROR(IFERROR(INDEX('2023 IP UPL Data'!N:N,MATCH(A:A,'2023 IP UPL Data'!B:B,0)),INDEX('2023 IMD UPL Data'!M:M,MATCH(A:A,'2023 IMD UPL Data'!B:B,0))),0)</f>
        <v>90281.008987341775</v>
      </c>
      <c r="M105" s="45">
        <f>IFERROR((IF(F105="IMD",0,INDEX('2023 OP UPL Data'!M:M,MATCH(A:A,'2023 OP UPL Data'!B:B,0)))),0)</f>
        <v>380922.5517721519</v>
      </c>
      <c r="N105" s="45">
        <f t="shared" si="36"/>
        <v>471203.56075949367</v>
      </c>
      <c r="O105" s="45">
        <v>313371.90006095258</v>
      </c>
      <c r="P105" s="45">
        <v>583580.61741361488</v>
      </c>
      <c r="Q105" s="45">
        <f t="shared" si="37"/>
        <v>896952.51747456752</v>
      </c>
      <c r="R105" s="45" t="str">
        <f t="shared" si="38"/>
        <v>Yes</v>
      </c>
      <c r="S105" s="46" t="str">
        <f t="shared" si="38"/>
        <v>Yes</v>
      </c>
      <c r="T105" s="47">
        <f>ROUND(INDEX(Summary!H:H,MATCH(H:H,Summary!A:A,0)),2)</f>
        <v>0.75</v>
      </c>
      <c r="U105" s="47">
        <f>ROUND(INDEX(Summary!I:I,MATCH(H:H,Summary!A:A,0)),2)</f>
        <v>1.83</v>
      </c>
      <c r="V105" s="85">
        <f t="shared" si="39"/>
        <v>114906.16082594862</v>
      </c>
      <c r="W105" s="85">
        <f t="shared" si="39"/>
        <v>788483.70633841516</v>
      </c>
      <c r="X105" s="45">
        <f t="shared" si="40"/>
        <v>903389.86716436374</v>
      </c>
      <c r="Y105" s="45" t="s">
        <v>3223</v>
      </c>
      <c r="Z105" s="45" t="str">
        <f t="shared" si="41"/>
        <v>Yes</v>
      </c>
      <c r="AA105" s="45" t="str">
        <f t="shared" si="41"/>
        <v>No</v>
      </c>
      <c r="AB105" s="45" t="str">
        <f t="shared" si="42"/>
        <v>Yes</v>
      </c>
      <c r="AC105" s="86">
        <f t="shared" si="55"/>
        <v>0.9</v>
      </c>
      <c r="AD105" s="86">
        <f t="shared" si="56"/>
        <v>0</v>
      </c>
      <c r="AE105" s="45">
        <f t="shared" si="57"/>
        <v>137887.39299113836</v>
      </c>
      <c r="AF105" s="45">
        <f t="shared" si="57"/>
        <v>0</v>
      </c>
      <c r="AG105" s="45">
        <f t="shared" si="43"/>
        <v>137887.39299113836</v>
      </c>
      <c r="AH105" s="47">
        <f>IF(Y105="No",0,IFERROR(ROUNDDOWN(INDEX('90% of ACR'!K:K,MATCH(H:H,'90% of ACR'!A:A,0))*IF(I105&gt;0,IF(O105&gt;0,$R$4*MAX(O105-V105,0),0),0)/I105,2),0))</f>
        <v>0.9</v>
      </c>
      <c r="AI105" s="86">
        <f>IF(Y105="No",0,IFERROR(ROUNDDOWN(INDEX('90% of ACR'!R:R,MATCH(H:H,'90% of ACR'!A:A,0))*IF(J105&gt;0,IF(P105&gt;0,$R$4*MAX(P105-W105,0),0),0)/J105,2),0))</f>
        <v>0</v>
      </c>
      <c r="AJ105" s="45">
        <f t="shared" si="44"/>
        <v>137887.39299113836</v>
      </c>
      <c r="AK105" s="45">
        <f t="shared" si="44"/>
        <v>0</v>
      </c>
      <c r="AL105" s="47">
        <f t="shared" si="45"/>
        <v>1.65</v>
      </c>
      <c r="AM105" s="47">
        <f t="shared" si="45"/>
        <v>1.83</v>
      </c>
      <c r="AN105" s="87">
        <f>IFERROR(INDEX(FeeCalc!P:P,MATCH(C105,FeeCalc!F:F,0)),0)</f>
        <v>1041277.2601555021</v>
      </c>
      <c r="AO105" s="87">
        <f>IFERROR(INDEX(FeeCalc!S:S,MATCH(C105,FeeCalc!F:F,0)),0)</f>
        <v>64613.502416500371</v>
      </c>
      <c r="AP105" s="87">
        <f t="shared" si="46"/>
        <v>1105890.7625720026</v>
      </c>
      <c r="AQ105" s="72">
        <f t="shared" si="47"/>
        <v>469264.83906370308</v>
      </c>
      <c r="AR105" s="72">
        <f t="shared" si="48"/>
        <v>234632.41953185154</v>
      </c>
      <c r="AS105" s="72">
        <f t="shared" si="49"/>
        <v>234632.41953185154</v>
      </c>
      <c r="AT105" s="72">
        <f>IFERROR(IFERROR(INDEX('2023 IP UPL Data'!L:L,MATCH(A:A,'2023 IP UPL Data'!B:B,0)),INDEX('2023 IMD UPL Data'!I:I,MATCH(A:A,'2023 IMD UPL Data'!B:B,0))),0)</f>
        <v>163709.98101265822</v>
      </c>
      <c r="AU105" s="72">
        <f>IFERROR(IF(F103="IMD",0,INDEX('2023 OP UPL Data'!J:J,MATCH(A:A,'2023 OP UPL Data'!B:B,0))),0)</f>
        <v>184084.15822784806</v>
      </c>
      <c r="AV105" s="45">
        <f t="shared" si="50"/>
        <v>347794.13924050628</v>
      </c>
      <c r="AW105" s="72">
        <f>IFERROR(IFERROR(INDEX('2023 IP UPL Data'!M:M,MATCH(A:A,'2023 IP UPL Data'!B:B,0)),INDEX('2023 IMD UPL Data'!K:K,MATCH(A:A,'2023 IMD UPL Data'!B:B,0))),0)</f>
        <v>253990.99</v>
      </c>
      <c r="AX105" s="72">
        <f>IFERROR(IF(F103="IMD",0,INDEX('2023 OP UPL Data'!L:L,MATCH(A:A,'2023 OP UPL Data'!B:B,0))),0)</f>
        <v>565006.71</v>
      </c>
      <c r="AY105" s="45">
        <f t="shared" si="51"/>
        <v>818997.7</v>
      </c>
      <c r="AZ105" s="72">
        <v>477081.8810736108</v>
      </c>
      <c r="BA105" s="72">
        <v>767664.775641463</v>
      </c>
      <c r="BB105" s="72">
        <f t="shared" si="52"/>
        <v>362175.72024766216</v>
      </c>
      <c r="BC105" s="72">
        <f t="shared" si="52"/>
        <v>0</v>
      </c>
      <c r="BD105" s="72">
        <f t="shared" si="53"/>
        <v>341356.78955071012</v>
      </c>
      <c r="BE105" s="94">
        <f t="shared" si="54"/>
        <v>223090.89107361081</v>
      </c>
      <c r="BF105" s="94">
        <f t="shared" si="54"/>
        <v>202658.06564146304</v>
      </c>
      <c r="BG105" s="73">
        <f>IFERROR(INDEX('2023 IP UPL Data'!K:K,MATCH(A105,'2023 IP UPL Data'!B:B,0)),0)</f>
        <v>0</v>
      </c>
    </row>
    <row r="106" spans="1:59">
      <c r="A106" s="124" t="s">
        <v>25</v>
      </c>
      <c r="B106" s="149" t="s">
        <v>25</v>
      </c>
      <c r="C106" s="31" t="s">
        <v>26</v>
      </c>
      <c r="D106" s="181" t="s">
        <v>26</v>
      </c>
      <c r="E106" s="144" t="s">
        <v>3480</v>
      </c>
      <c r="F106" s="120" t="s">
        <v>2718</v>
      </c>
      <c r="G106" s="120" t="s">
        <v>223</v>
      </c>
      <c r="H106" s="43" t="str">
        <f t="shared" si="34"/>
        <v>Urban Dallas</v>
      </c>
      <c r="I106" s="45">
        <f>INDEX(FeeCalc!M:M,MATCH(C:C,FeeCalc!F:F,0))</f>
        <v>114657.90996363084</v>
      </c>
      <c r="J106" s="45">
        <f>INDEX(FeeCalc!L:L,MATCH(C:C,FeeCalc!F:F,0))</f>
        <v>12679.988400790286</v>
      </c>
      <c r="K106" s="45">
        <f t="shared" si="35"/>
        <v>127337.89836442113</v>
      </c>
      <c r="L106" s="45">
        <f>IFERROR(IFERROR(INDEX('2023 IP UPL Data'!N:N,MATCH(A:A,'2023 IP UPL Data'!B:B,0)),INDEX('2023 IMD UPL Data'!M:M,MATCH(A:A,'2023 IMD UPL Data'!B:B,0))),0)</f>
        <v>537043.34759036137</v>
      </c>
      <c r="M106" s="45">
        <f>IFERROR((IF(F106="IMD",0,INDEX('2023 OP UPL Data'!M:M,MATCH(A:A,'2023 OP UPL Data'!B:B,0)))),0)</f>
        <v>429969.08409638552</v>
      </c>
      <c r="N106" s="45">
        <f t="shared" si="36"/>
        <v>967012.43168674689</v>
      </c>
      <c r="O106" s="45">
        <v>1827044.7416459839</v>
      </c>
      <c r="P106" s="45">
        <v>792435.233969589</v>
      </c>
      <c r="Q106" s="45">
        <f t="shared" si="37"/>
        <v>2619479.9756155731</v>
      </c>
      <c r="R106" s="45" t="str">
        <f t="shared" si="38"/>
        <v>Yes</v>
      </c>
      <c r="S106" s="46" t="str">
        <f t="shared" si="38"/>
        <v>Yes</v>
      </c>
      <c r="T106" s="47">
        <f>ROUND(INDEX(Summary!H:H,MATCH(H:H,Summary!A:A,0)),2)</f>
        <v>1.2</v>
      </c>
      <c r="U106" s="47">
        <f>ROUND(INDEX(Summary!I:I,MATCH(H:H,Summary!A:A,0)),2)</f>
        <v>1.08</v>
      </c>
      <c r="V106" s="85">
        <f t="shared" si="39"/>
        <v>137589.491956357</v>
      </c>
      <c r="W106" s="85">
        <f t="shared" si="39"/>
        <v>13694.38747285351</v>
      </c>
      <c r="X106" s="45">
        <f t="shared" si="40"/>
        <v>151283.8794292105</v>
      </c>
      <c r="Y106" s="45" t="s">
        <v>3223</v>
      </c>
      <c r="Z106" s="45" t="str">
        <f t="shared" si="41"/>
        <v>Yes</v>
      </c>
      <c r="AA106" s="45" t="str">
        <f t="shared" si="41"/>
        <v>Yes</v>
      </c>
      <c r="AB106" s="45" t="str">
        <f t="shared" si="42"/>
        <v>Yes</v>
      </c>
      <c r="AC106" s="86">
        <f t="shared" si="55"/>
        <v>10.26</v>
      </c>
      <c r="AD106" s="86">
        <f t="shared" si="56"/>
        <v>42.78</v>
      </c>
      <c r="AE106" s="45">
        <f t="shared" si="57"/>
        <v>1176390.1562268524</v>
      </c>
      <c r="AF106" s="45">
        <f t="shared" si="57"/>
        <v>542449.90378580848</v>
      </c>
      <c r="AG106" s="45">
        <f t="shared" si="43"/>
        <v>1718840.0600126609</v>
      </c>
      <c r="AH106" s="47">
        <f>IF(Y106="No",0,IFERROR(ROUNDDOWN(INDEX('90% of ACR'!K:K,MATCH(H:H,'90% of ACR'!A:A,0))*IF(I106&gt;0,IF(O106&gt;0,$R$4*MAX(O106-V106,0),0),0)/I106,2),0))</f>
        <v>9.91</v>
      </c>
      <c r="AI106" s="86">
        <f>IF(Y106="No",0,IFERROR(ROUNDDOWN(INDEX('90% of ACR'!R:R,MATCH(H:H,'90% of ACR'!A:A,0))*IF(J106&gt;0,IF(P106&gt;0,$R$4*MAX(P106-W106,0),0),0)/J106,2),0))</f>
        <v>42.78</v>
      </c>
      <c r="AJ106" s="45">
        <f t="shared" si="44"/>
        <v>1136259.8877395815</v>
      </c>
      <c r="AK106" s="45">
        <f t="shared" si="44"/>
        <v>542449.90378580848</v>
      </c>
      <c r="AL106" s="47">
        <f t="shared" si="45"/>
        <v>11.11</v>
      </c>
      <c r="AM106" s="47">
        <f t="shared" si="45"/>
        <v>43.86</v>
      </c>
      <c r="AN106" s="87">
        <f>IFERROR(INDEX(FeeCalc!P:P,MATCH(C106,FeeCalc!F:F,0)),0)</f>
        <v>1829993.6709546004</v>
      </c>
      <c r="AO106" s="87">
        <f>IFERROR(INDEX(FeeCalc!S:S,MATCH(C106,FeeCalc!F:F,0)),0)</f>
        <v>116808.10665667664</v>
      </c>
      <c r="AP106" s="87">
        <f t="shared" si="46"/>
        <v>1946801.7776112771</v>
      </c>
      <c r="AQ106" s="72">
        <f t="shared" si="47"/>
        <v>826090.29189734848</v>
      </c>
      <c r="AR106" s="72">
        <f t="shared" si="48"/>
        <v>413045.14594867424</v>
      </c>
      <c r="AS106" s="72">
        <f t="shared" si="49"/>
        <v>413045.14594867424</v>
      </c>
      <c r="AT106" s="72">
        <f>IFERROR(IFERROR(INDEX('2023 IP UPL Data'!L:L,MATCH(A:A,'2023 IP UPL Data'!B:B,0)),INDEX('2023 IMD UPL Data'!I:I,MATCH(A:A,'2023 IMD UPL Data'!B:B,0))),0)</f>
        <v>429765.60240963858</v>
      </c>
      <c r="AU106" s="72">
        <f>IFERROR(IF(F104="IMD",0,INDEX('2023 OP UPL Data'!J:J,MATCH(A:A,'2023 OP UPL Data'!B:B,0))),0)</f>
        <v>42267.475903614453</v>
      </c>
      <c r="AV106" s="45">
        <f t="shared" si="50"/>
        <v>472033.07831325301</v>
      </c>
      <c r="AW106" s="72">
        <f>IFERROR(IFERROR(INDEX('2023 IP UPL Data'!M:M,MATCH(A:A,'2023 IP UPL Data'!B:B,0)),INDEX('2023 IMD UPL Data'!K:K,MATCH(A:A,'2023 IMD UPL Data'!B:B,0))),0)</f>
        <v>966808.95</v>
      </c>
      <c r="AX106" s="72">
        <f>IFERROR(IF(F104="IMD",0,INDEX('2023 OP UPL Data'!L:L,MATCH(A:A,'2023 OP UPL Data'!B:B,0))),0)</f>
        <v>472236.56</v>
      </c>
      <c r="AY106" s="45">
        <f t="shared" si="51"/>
        <v>1439045.51</v>
      </c>
      <c r="AZ106" s="72">
        <v>2256810.3440556224</v>
      </c>
      <c r="BA106" s="72">
        <v>834702.70987320342</v>
      </c>
      <c r="BB106" s="72">
        <f t="shared" si="52"/>
        <v>2119220.8520992654</v>
      </c>
      <c r="BC106" s="72">
        <f t="shared" si="52"/>
        <v>821008.32240034989</v>
      </c>
      <c r="BD106" s="72">
        <f t="shared" si="53"/>
        <v>2940229.1744996156</v>
      </c>
      <c r="BE106" s="94">
        <f t="shared" si="54"/>
        <v>1290001.3940556224</v>
      </c>
      <c r="BF106" s="94">
        <f t="shared" si="54"/>
        <v>362466.14987320342</v>
      </c>
      <c r="BG106" s="73">
        <f>IFERROR(INDEX('2023 IP UPL Data'!K:K,MATCH(A106,'2023 IP UPL Data'!B:B,0)),0)</f>
        <v>0</v>
      </c>
    </row>
    <row r="107" spans="1:59">
      <c r="A107" s="124" t="s">
        <v>31</v>
      </c>
      <c r="B107" s="149" t="s">
        <v>3085</v>
      </c>
      <c r="C107" s="31" t="s">
        <v>32</v>
      </c>
      <c r="D107" s="181" t="s">
        <v>32</v>
      </c>
      <c r="E107" s="144" t="s">
        <v>3481</v>
      </c>
      <c r="F107" s="120" t="s">
        <v>2718</v>
      </c>
      <c r="G107" s="120" t="s">
        <v>223</v>
      </c>
      <c r="H107" s="43" t="str">
        <f t="shared" si="34"/>
        <v>Urban Dallas</v>
      </c>
      <c r="I107" s="45">
        <f>INDEX(FeeCalc!M:M,MATCH(C:C,FeeCalc!F:F,0))</f>
        <v>3831259.0960051175</v>
      </c>
      <c r="J107" s="45">
        <f>INDEX(FeeCalc!L:L,MATCH(C:C,FeeCalc!F:F,0))</f>
        <v>1627989.1274443329</v>
      </c>
      <c r="K107" s="45">
        <f t="shared" si="35"/>
        <v>5459248.22344945</v>
      </c>
      <c r="L107" s="45">
        <f>IFERROR(IFERROR(INDEX('2023 IP UPL Data'!N:N,MATCH(A:A,'2023 IP UPL Data'!B:B,0)),INDEX('2023 IMD UPL Data'!M:M,MATCH(A:A,'2023 IMD UPL Data'!B:B,0))),0)</f>
        <v>8039417.1914457846</v>
      </c>
      <c r="M107" s="45">
        <f>IFERROR((IF(F107="IMD",0,INDEX('2023 OP UPL Data'!M:M,MATCH(A:A,'2023 OP UPL Data'!B:B,0)))),0)</f>
        <v>4764314.1068674698</v>
      </c>
      <c r="N107" s="45">
        <f t="shared" si="36"/>
        <v>12803731.298313254</v>
      </c>
      <c r="O107" s="45">
        <v>14173013.011953428</v>
      </c>
      <c r="P107" s="45">
        <v>8893498.0335334111</v>
      </c>
      <c r="Q107" s="45">
        <f t="shared" si="37"/>
        <v>23066511.045486838</v>
      </c>
      <c r="R107" s="45" t="str">
        <f t="shared" si="38"/>
        <v>Yes</v>
      </c>
      <c r="S107" s="46" t="str">
        <f t="shared" si="38"/>
        <v>Yes</v>
      </c>
      <c r="T107" s="47">
        <f>ROUND(INDEX(Summary!H:H,MATCH(H:H,Summary!A:A,0)),2)</f>
        <v>1.2</v>
      </c>
      <c r="U107" s="47">
        <f>ROUND(INDEX(Summary!I:I,MATCH(H:H,Summary!A:A,0)),2)</f>
        <v>1.08</v>
      </c>
      <c r="V107" s="85">
        <f t="shared" si="39"/>
        <v>4597510.9152061408</v>
      </c>
      <c r="W107" s="85">
        <f t="shared" si="39"/>
        <v>1758228.2576398796</v>
      </c>
      <c r="X107" s="45">
        <f t="shared" si="40"/>
        <v>6355739.1728460202</v>
      </c>
      <c r="Y107" s="45" t="s">
        <v>3223</v>
      </c>
      <c r="Z107" s="45" t="str">
        <f t="shared" si="41"/>
        <v>Yes</v>
      </c>
      <c r="AA107" s="45" t="str">
        <f t="shared" si="41"/>
        <v>Yes</v>
      </c>
      <c r="AB107" s="45" t="str">
        <f t="shared" si="42"/>
        <v>Yes</v>
      </c>
      <c r="AC107" s="86">
        <f t="shared" si="55"/>
        <v>1.74</v>
      </c>
      <c r="AD107" s="86">
        <f t="shared" si="56"/>
        <v>3.05</v>
      </c>
      <c r="AE107" s="45">
        <f t="shared" si="57"/>
        <v>6666390.8270489043</v>
      </c>
      <c r="AF107" s="45">
        <f t="shared" si="57"/>
        <v>4965366.8387052156</v>
      </c>
      <c r="AG107" s="45">
        <f t="shared" si="43"/>
        <v>11631757.665754121</v>
      </c>
      <c r="AH107" s="47">
        <f>IF(Y107="No",0,IFERROR(ROUNDDOWN(INDEX('90% of ACR'!K:K,MATCH(H:H,'90% of ACR'!A:A,0))*IF(I107&gt;0,IF(O107&gt;0,$R$4*MAX(O107-V107,0),0),0)/I107,2),0))</f>
        <v>1.68</v>
      </c>
      <c r="AI107" s="86">
        <f>IF(Y107="No",0,IFERROR(ROUNDDOWN(INDEX('90% of ACR'!R:R,MATCH(H:H,'90% of ACR'!A:A,0))*IF(J107&gt;0,IF(P107&gt;0,$R$4*MAX(P107-W107,0),0),0)/J107,2),0))</f>
        <v>3.05</v>
      </c>
      <c r="AJ107" s="45">
        <f t="shared" si="44"/>
        <v>6436515.2812885968</v>
      </c>
      <c r="AK107" s="45">
        <f t="shared" si="44"/>
        <v>4965366.8387052156</v>
      </c>
      <c r="AL107" s="47">
        <f t="shared" si="45"/>
        <v>2.88</v>
      </c>
      <c r="AM107" s="47">
        <f t="shared" si="45"/>
        <v>4.13</v>
      </c>
      <c r="AN107" s="87">
        <f>IFERROR(INDEX(FeeCalc!P:P,MATCH(C107,FeeCalc!F:F,0)),0)</f>
        <v>17757621.292839833</v>
      </c>
      <c r="AO107" s="87">
        <f>IFERROR(INDEX(FeeCalc!S:S,MATCH(C107,FeeCalc!F:F,0)),0)</f>
        <v>1095611.57868253</v>
      </c>
      <c r="AP107" s="87">
        <f t="shared" si="46"/>
        <v>18853232.871522363</v>
      </c>
      <c r="AQ107" s="72">
        <f t="shared" si="47"/>
        <v>8000030.010838829</v>
      </c>
      <c r="AR107" s="72">
        <f t="shared" si="48"/>
        <v>4000015.0054194145</v>
      </c>
      <c r="AS107" s="72">
        <f t="shared" si="49"/>
        <v>4000015.0054194145</v>
      </c>
      <c r="AT107" s="72">
        <f>IFERROR(IFERROR(INDEX('2023 IP UPL Data'!L:L,MATCH(A:A,'2023 IP UPL Data'!B:B,0)),INDEX('2023 IMD UPL Data'!I:I,MATCH(A:A,'2023 IMD UPL Data'!B:B,0))),0)</f>
        <v>4238175.6385542154</v>
      </c>
      <c r="AU107" s="72">
        <f>IFERROR(IF(F105="IMD",0,INDEX('2023 OP UPL Data'!J:J,MATCH(A:A,'2023 OP UPL Data'!B:B,0))),0)</f>
        <v>1062245.2831325301</v>
      </c>
      <c r="AV107" s="45">
        <f t="shared" si="50"/>
        <v>5300420.9216867452</v>
      </c>
      <c r="AW107" s="72">
        <f>IFERROR(IFERROR(INDEX('2023 IP UPL Data'!M:M,MATCH(A:A,'2023 IP UPL Data'!B:B,0)),INDEX('2023 IMD UPL Data'!K:K,MATCH(A:A,'2023 IMD UPL Data'!B:B,0))),0)</f>
        <v>12277592.83</v>
      </c>
      <c r="AX107" s="72">
        <f>IFERROR(IF(F105="IMD",0,INDEX('2023 OP UPL Data'!L:L,MATCH(A:A,'2023 OP UPL Data'!B:B,0))),0)</f>
        <v>5826559.3899999997</v>
      </c>
      <c r="AY107" s="45">
        <f t="shared" si="51"/>
        <v>18104152.219999999</v>
      </c>
      <c r="AZ107" s="72">
        <v>18411188.650507644</v>
      </c>
      <c r="BA107" s="72">
        <v>9955743.3166659418</v>
      </c>
      <c r="BB107" s="72">
        <f t="shared" si="52"/>
        <v>13813677.735301502</v>
      </c>
      <c r="BC107" s="72">
        <f t="shared" si="52"/>
        <v>8197515.0590260625</v>
      </c>
      <c r="BD107" s="72">
        <f t="shared" si="53"/>
        <v>22011192.794327565</v>
      </c>
      <c r="BE107" s="94">
        <f t="shared" si="54"/>
        <v>6133595.8205076437</v>
      </c>
      <c r="BF107" s="94">
        <f t="shared" si="54"/>
        <v>4129183.9266659422</v>
      </c>
      <c r="BG107" s="73">
        <f>IFERROR(INDEX('2023 IP UPL Data'!K:K,MATCH(A107,'2023 IP UPL Data'!B:B,0)),0)</f>
        <v>0</v>
      </c>
    </row>
    <row r="108" spans="1:59">
      <c r="A108" s="124" t="s">
        <v>34</v>
      </c>
      <c r="B108" s="149" t="s">
        <v>34</v>
      </c>
      <c r="C108" s="31" t="s">
        <v>35</v>
      </c>
      <c r="D108" s="181" t="s">
        <v>35</v>
      </c>
      <c r="E108" s="144" t="s">
        <v>3482</v>
      </c>
      <c r="F108" s="120" t="s">
        <v>2718</v>
      </c>
      <c r="G108" s="120" t="s">
        <v>223</v>
      </c>
      <c r="H108" s="43" t="str">
        <f t="shared" si="34"/>
        <v>Urban Dallas</v>
      </c>
      <c r="I108" s="45">
        <f>INDEX(FeeCalc!M:M,MATCH(C:C,FeeCalc!F:F,0))</f>
        <v>1222130.3524873415</v>
      </c>
      <c r="J108" s="45">
        <f>INDEX(FeeCalc!L:L,MATCH(C:C,FeeCalc!F:F,0))</f>
        <v>348795.48332273099</v>
      </c>
      <c r="K108" s="45">
        <f t="shared" si="35"/>
        <v>1570925.8358100725</v>
      </c>
      <c r="L108" s="45">
        <f>IFERROR(IFERROR(INDEX('2023 IP UPL Data'!N:N,MATCH(A:A,'2023 IP UPL Data'!B:B,0)),INDEX('2023 IMD UPL Data'!M:M,MATCH(A:A,'2023 IMD UPL Data'!B:B,0))),0)</f>
        <v>1720031.4090361444</v>
      </c>
      <c r="M108" s="45">
        <f>IFERROR((IF(F108="IMD",0,INDEX('2023 OP UPL Data'!M:M,MATCH(A:A,'2023 OP UPL Data'!B:B,0)))),0)</f>
        <v>1611789.0628915664</v>
      </c>
      <c r="N108" s="45">
        <f t="shared" si="36"/>
        <v>3331820.4719277108</v>
      </c>
      <c r="O108" s="45">
        <v>5697470.0173823182</v>
      </c>
      <c r="P108" s="45">
        <v>3178395.4984271321</v>
      </c>
      <c r="Q108" s="45">
        <f t="shared" si="37"/>
        <v>8875865.5158094503</v>
      </c>
      <c r="R108" s="45" t="str">
        <f t="shared" si="38"/>
        <v>Yes</v>
      </c>
      <c r="S108" s="46" t="str">
        <f t="shared" si="38"/>
        <v>Yes</v>
      </c>
      <c r="T108" s="47">
        <f>ROUND(INDEX(Summary!H:H,MATCH(H:H,Summary!A:A,0)),2)</f>
        <v>1.2</v>
      </c>
      <c r="U108" s="47">
        <f>ROUND(INDEX(Summary!I:I,MATCH(H:H,Summary!A:A,0)),2)</f>
        <v>1.08</v>
      </c>
      <c r="V108" s="85">
        <f t="shared" si="39"/>
        <v>1466556.4229848098</v>
      </c>
      <c r="W108" s="85">
        <f t="shared" si="39"/>
        <v>376699.12198854948</v>
      </c>
      <c r="X108" s="45">
        <f t="shared" si="40"/>
        <v>1843255.5449733594</v>
      </c>
      <c r="Y108" s="45" t="s">
        <v>3223</v>
      </c>
      <c r="Z108" s="45" t="str">
        <f t="shared" si="41"/>
        <v>Yes</v>
      </c>
      <c r="AA108" s="45" t="str">
        <f t="shared" si="41"/>
        <v>Yes</v>
      </c>
      <c r="AB108" s="45" t="str">
        <f t="shared" si="42"/>
        <v>Yes</v>
      </c>
      <c r="AC108" s="86">
        <f t="shared" si="55"/>
        <v>2.41</v>
      </c>
      <c r="AD108" s="86">
        <f t="shared" si="56"/>
        <v>5.6</v>
      </c>
      <c r="AE108" s="45">
        <f t="shared" si="57"/>
        <v>2945334.1494944934</v>
      </c>
      <c r="AF108" s="45">
        <f t="shared" si="57"/>
        <v>1953254.7066072933</v>
      </c>
      <c r="AG108" s="45">
        <f t="shared" si="43"/>
        <v>4898588.8561017867</v>
      </c>
      <c r="AH108" s="47">
        <f>IF(Y108="No",0,IFERROR(ROUNDDOWN(INDEX('90% of ACR'!K:K,MATCH(H:H,'90% of ACR'!A:A,0))*IF(I108&gt;0,IF(O108&gt;0,$R$4*MAX(O108-V108,0),0),0)/I108,2),0))</f>
        <v>2.3199999999999998</v>
      </c>
      <c r="AI108" s="86">
        <f>IF(Y108="No",0,IFERROR(ROUNDDOWN(INDEX('90% of ACR'!R:R,MATCH(H:H,'90% of ACR'!A:A,0))*IF(J108&gt;0,IF(P108&gt;0,$R$4*MAX(P108-W108,0),0),0)/J108,2),0))</f>
        <v>5.59</v>
      </c>
      <c r="AJ108" s="45">
        <f t="shared" si="44"/>
        <v>2835342.4177706321</v>
      </c>
      <c r="AK108" s="45">
        <f t="shared" si="44"/>
        <v>1949766.7517740661</v>
      </c>
      <c r="AL108" s="47">
        <f t="shared" si="45"/>
        <v>3.5199999999999996</v>
      </c>
      <c r="AM108" s="47">
        <f t="shared" si="45"/>
        <v>6.67</v>
      </c>
      <c r="AN108" s="87">
        <f>IFERROR(INDEX(FeeCalc!P:P,MATCH(C108,FeeCalc!F:F,0)),0)</f>
        <v>6628364.7145180572</v>
      </c>
      <c r="AO108" s="87">
        <f>IFERROR(INDEX(FeeCalc!S:S,MATCH(C108,FeeCalc!F:F,0)),0)</f>
        <v>412233.53127911227</v>
      </c>
      <c r="AP108" s="87">
        <f t="shared" si="46"/>
        <v>7040598.2457971694</v>
      </c>
      <c r="AQ108" s="72">
        <f t="shared" si="47"/>
        <v>2987551.134835605</v>
      </c>
      <c r="AR108" s="72">
        <f t="shared" si="48"/>
        <v>1493775.5674178025</v>
      </c>
      <c r="AS108" s="72">
        <f t="shared" si="49"/>
        <v>1493775.5674178025</v>
      </c>
      <c r="AT108" s="72">
        <f>IFERROR(IFERROR(INDEX('2023 IP UPL Data'!L:L,MATCH(A:A,'2023 IP UPL Data'!B:B,0)),INDEX('2023 IMD UPL Data'!I:I,MATCH(A:A,'2023 IMD UPL Data'!B:B,0))),0)</f>
        <v>1519055.2409638555</v>
      </c>
      <c r="AU108" s="72">
        <f>IFERROR(IF(F106="IMD",0,INDEX('2023 OP UPL Data'!J:J,MATCH(A:A,'2023 OP UPL Data'!B:B,0))),0)</f>
        <v>441624.27710843371</v>
      </c>
      <c r="AV108" s="45">
        <f t="shared" si="50"/>
        <v>1960679.5180722892</v>
      </c>
      <c r="AW108" s="72">
        <f>IFERROR(IFERROR(INDEX('2023 IP UPL Data'!M:M,MATCH(A:A,'2023 IP UPL Data'!B:B,0)),INDEX('2023 IMD UPL Data'!K:K,MATCH(A:A,'2023 IMD UPL Data'!B:B,0))),0)</f>
        <v>3239086.65</v>
      </c>
      <c r="AX108" s="72">
        <f>IFERROR(IF(F106="IMD",0,INDEX('2023 OP UPL Data'!L:L,MATCH(A:A,'2023 OP UPL Data'!B:B,0))),0)</f>
        <v>2053413.34</v>
      </c>
      <c r="AY108" s="45">
        <f t="shared" si="51"/>
        <v>5292499.99</v>
      </c>
      <c r="AZ108" s="72">
        <v>7216525.2583461739</v>
      </c>
      <c r="BA108" s="72">
        <v>3620019.7755355658</v>
      </c>
      <c r="BB108" s="72">
        <f t="shared" si="52"/>
        <v>5749968.8353613643</v>
      </c>
      <c r="BC108" s="72">
        <f t="shared" si="52"/>
        <v>3243320.6535470164</v>
      </c>
      <c r="BD108" s="72">
        <f t="shared" si="53"/>
        <v>8993289.4889083803</v>
      </c>
      <c r="BE108" s="94">
        <f t="shared" si="54"/>
        <v>3977438.608346174</v>
      </c>
      <c r="BF108" s="94">
        <f t="shared" si="54"/>
        <v>1566606.4355355657</v>
      </c>
      <c r="BG108" s="73">
        <f>IFERROR(INDEX('2023 IP UPL Data'!K:K,MATCH(A108,'2023 IP UPL Data'!B:B,0)),0)</f>
        <v>0</v>
      </c>
    </row>
    <row r="109" spans="1:59">
      <c r="A109" s="124" t="s">
        <v>518</v>
      </c>
      <c r="B109" s="149" t="s">
        <v>518</v>
      </c>
      <c r="C109" s="31" t="s">
        <v>519</v>
      </c>
      <c r="D109" s="181" t="s">
        <v>519</v>
      </c>
      <c r="E109" s="144" t="s">
        <v>3000</v>
      </c>
      <c r="F109" s="120" t="s">
        <v>2718</v>
      </c>
      <c r="G109" s="120" t="s">
        <v>223</v>
      </c>
      <c r="H109" s="43" t="str">
        <f t="shared" si="34"/>
        <v>Urban Dallas</v>
      </c>
      <c r="I109" s="45">
        <f>INDEX(FeeCalc!M:M,MATCH(C:C,FeeCalc!F:F,0))</f>
        <v>1916006.8906363018</v>
      </c>
      <c r="J109" s="45">
        <f>INDEX(FeeCalc!L:L,MATCH(C:C,FeeCalc!F:F,0))</f>
        <v>1390627.8009106847</v>
      </c>
      <c r="K109" s="45">
        <f t="shared" si="35"/>
        <v>3306634.6915469868</v>
      </c>
      <c r="L109" s="45">
        <f>IFERROR(IFERROR(INDEX('2023 IP UPL Data'!N:N,MATCH(A:A,'2023 IP UPL Data'!B:B,0)),INDEX('2023 IMD UPL Data'!M:M,MATCH(A:A,'2023 IMD UPL Data'!B:B,0))),0)</f>
        <v>1800609.0297590364</v>
      </c>
      <c r="M109" s="45">
        <f>IFERROR((IF(F109="IMD",0,INDEX('2023 OP UPL Data'!M:M,MATCH(A:A,'2023 OP UPL Data'!B:B,0)))),0)</f>
        <v>3359804.9606024092</v>
      </c>
      <c r="N109" s="45">
        <f t="shared" si="36"/>
        <v>5160413.9903614456</v>
      </c>
      <c r="O109" s="45">
        <v>6361553.9458149187</v>
      </c>
      <c r="P109" s="45">
        <v>5964949.6914153183</v>
      </c>
      <c r="Q109" s="45">
        <f t="shared" si="37"/>
        <v>12326503.637230236</v>
      </c>
      <c r="R109" s="45" t="str">
        <f t="shared" si="38"/>
        <v>Yes</v>
      </c>
      <c r="S109" s="46" t="str">
        <f t="shared" si="38"/>
        <v>Yes</v>
      </c>
      <c r="T109" s="47">
        <f>ROUND(INDEX(Summary!H:H,MATCH(H:H,Summary!A:A,0)),2)</f>
        <v>1.2</v>
      </c>
      <c r="U109" s="47">
        <f>ROUND(INDEX(Summary!I:I,MATCH(H:H,Summary!A:A,0)),2)</f>
        <v>1.08</v>
      </c>
      <c r="V109" s="85">
        <f t="shared" si="39"/>
        <v>2299208.2687635622</v>
      </c>
      <c r="W109" s="85">
        <f t="shared" si="39"/>
        <v>1501878.0249835397</v>
      </c>
      <c r="X109" s="45">
        <f t="shared" si="40"/>
        <v>3801086.2937471019</v>
      </c>
      <c r="Y109" s="45" t="s">
        <v>3223</v>
      </c>
      <c r="Z109" s="45" t="str">
        <f t="shared" si="41"/>
        <v>Yes</v>
      </c>
      <c r="AA109" s="45" t="str">
        <f t="shared" si="41"/>
        <v>Yes</v>
      </c>
      <c r="AB109" s="45" t="str">
        <f t="shared" si="42"/>
        <v>Yes</v>
      </c>
      <c r="AC109" s="86">
        <f t="shared" si="55"/>
        <v>1.48</v>
      </c>
      <c r="AD109" s="86">
        <f t="shared" si="56"/>
        <v>2.2400000000000002</v>
      </c>
      <c r="AE109" s="45">
        <f t="shared" si="57"/>
        <v>2835690.1981417267</v>
      </c>
      <c r="AF109" s="45">
        <f t="shared" si="57"/>
        <v>3115006.2740399339</v>
      </c>
      <c r="AG109" s="45">
        <f t="shared" si="43"/>
        <v>5950696.4721816611</v>
      </c>
      <c r="AH109" s="47">
        <f>IF(Y109="No",0,IFERROR(ROUNDDOWN(INDEX('90% of ACR'!K:K,MATCH(H:H,'90% of ACR'!A:A,0))*IF(I109&gt;0,IF(O109&gt;0,$R$4*MAX(O109-V109,0),0),0)/I109,2),0))</f>
        <v>1.42</v>
      </c>
      <c r="AI109" s="86">
        <f>IF(Y109="No",0,IFERROR(ROUNDDOWN(INDEX('90% of ACR'!R:R,MATCH(H:H,'90% of ACR'!A:A,0))*IF(J109&gt;0,IF(P109&gt;0,$R$4*MAX(P109-W109,0),0),0)/J109,2),0))</f>
        <v>2.23</v>
      </c>
      <c r="AJ109" s="45">
        <f t="shared" si="44"/>
        <v>2720729.7847035485</v>
      </c>
      <c r="AK109" s="45">
        <f t="shared" si="44"/>
        <v>3101099.9960308271</v>
      </c>
      <c r="AL109" s="47">
        <f t="shared" si="45"/>
        <v>2.62</v>
      </c>
      <c r="AM109" s="47">
        <f t="shared" si="45"/>
        <v>3.31</v>
      </c>
      <c r="AN109" s="87">
        <f>IFERROR(INDEX(FeeCalc!P:P,MATCH(C109,FeeCalc!F:F,0)),0)</f>
        <v>9622916.0744814761</v>
      </c>
      <c r="AO109" s="87">
        <f>IFERROR(INDEX(FeeCalc!S:S,MATCH(C109,FeeCalc!F:F,0)),0)</f>
        <v>601049.03490778548</v>
      </c>
      <c r="AP109" s="87">
        <f t="shared" si="46"/>
        <v>10223965.109389262</v>
      </c>
      <c r="AQ109" s="72">
        <f t="shared" si="47"/>
        <v>4338355.5627973648</v>
      </c>
      <c r="AR109" s="72">
        <f t="shared" si="48"/>
        <v>2169177.7813986824</v>
      </c>
      <c r="AS109" s="72">
        <f t="shared" si="49"/>
        <v>2169177.7813986824</v>
      </c>
      <c r="AT109" s="72">
        <f>IFERROR(IFERROR(INDEX('2023 IP UPL Data'!L:L,MATCH(A:A,'2023 IP UPL Data'!B:B,0)),INDEX('2023 IMD UPL Data'!I:I,MATCH(A:A,'2023 IMD UPL Data'!B:B,0))),0)</f>
        <v>2110393.5602409635</v>
      </c>
      <c r="AU109" s="72">
        <f>IFERROR(IF(F107="IMD",0,INDEX('2023 OP UPL Data'!J:J,MATCH(A:A,'2023 OP UPL Data'!B:B,0))),0)</f>
        <v>1185158.8493975904</v>
      </c>
      <c r="AV109" s="45">
        <f t="shared" si="50"/>
        <v>3295552.4096385539</v>
      </c>
      <c r="AW109" s="72">
        <f>IFERROR(IFERROR(INDEX('2023 IP UPL Data'!M:M,MATCH(A:A,'2023 IP UPL Data'!B:B,0)),INDEX('2023 IMD UPL Data'!K:K,MATCH(A:A,'2023 IMD UPL Data'!B:B,0))),0)</f>
        <v>3911002.59</v>
      </c>
      <c r="AX109" s="72">
        <f>IFERROR(IF(F107="IMD",0,INDEX('2023 OP UPL Data'!L:L,MATCH(A:A,'2023 OP UPL Data'!B:B,0))),0)</f>
        <v>4544963.8099999996</v>
      </c>
      <c r="AY109" s="45">
        <f t="shared" si="51"/>
        <v>8455966.3999999985</v>
      </c>
      <c r="AZ109" s="72">
        <v>8471947.5060558822</v>
      </c>
      <c r="BA109" s="72">
        <v>7150108.5408129087</v>
      </c>
      <c r="BB109" s="72">
        <f t="shared" si="52"/>
        <v>6172739.2372923195</v>
      </c>
      <c r="BC109" s="72">
        <f t="shared" si="52"/>
        <v>5648230.5158293694</v>
      </c>
      <c r="BD109" s="72">
        <f t="shared" si="53"/>
        <v>11820969.753121689</v>
      </c>
      <c r="BE109" s="94">
        <f t="shared" si="54"/>
        <v>4560944.9160558823</v>
      </c>
      <c r="BF109" s="94">
        <f t="shared" si="54"/>
        <v>2605144.7308129091</v>
      </c>
      <c r="BG109" s="73">
        <f>IFERROR(INDEX('2023 IP UPL Data'!K:K,MATCH(A109,'2023 IP UPL Data'!B:B,0)),0)</f>
        <v>0</v>
      </c>
    </row>
    <row r="110" spans="1:59">
      <c r="A110" s="124" t="s">
        <v>935</v>
      </c>
      <c r="B110" s="149" t="s">
        <v>935</v>
      </c>
      <c r="C110" s="31" t="s">
        <v>936</v>
      </c>
      <c r="D110" s="181" t="s">
        <v>936</v>
      </c>
      <c r="E110" s="144" t="s">
        <v>3001</v>
      </c>
      <c r="F110" s="120" t="s">
        <v>2718</v>
      </c>
      <c r="G110" s="120" t="s">
        <v>1366</v>
      </c>
      <c r="H110" s="43" t="str">
        <f t="shared" si="34"/>
        <v>Urban Tarrant</v>
      </c>
      <c r="I110" s="45">
        <f>INDEX(FeeCalc!M:M,MATCH(C:C,FeeCalc!F:F,0))</f>
        <v>0</v>
      </c>
      <c r="J110" s="45">
        <f>INDEX(FeeCalc!L:L,MATCH(C:C,FeeCalc!F:F,0))</f>
        <v>0</v>
      </c>
      <c r="K110" s="45">
        <f t="shared" si="35"/>
        <v>0</v>
      </c>
      <c r="L110" s="45">
        <f>IFERROR(IFERROR(INDEX('2023 IP UPL Data'!N:N,MATCH(A:A,'2023 IP UPL Data'!B:B,0)),INDEX('2023 IMD UPL Data'!M:M,MATCH(A:A,'2023 IMD UPL Data'!B:B,0))),0)</f>
        <v>1152162.1187500004</v>
      </c>
      <c r="M110" s="45">
        <f>IFERROR((IF(F110="IMD",0,INDEX('2023 OP UPL Data'!M:M,MATCH(A:A,'2023 OP UPL Data'!B:B,0)))),0)</f>
        <v>947515.38250000007</v>
      </c>
      <c r="N110" s="45">
        <f t="shared" si="36"/>
        <v>2099677.5012500007</v>
      </c>
      <c r="O110" s="45">
        <v>3660774.125145881</v>
      </c>
      <c r="P110" s="45">
        <v>1731106.8091716128</v>
      </c>
      <c r="Q110" s="45">
        <f t="shared" si="37"/>
        <v>5391880.9343174938</v>
      </c>
      <c r="R110" s="45" t="str">
        <f t="shared" si="38"/>
        <v>Yes</v>
      </c>
      <c r="S110" s="46" t="str">
        <f t="shared" si="38"/>
        <v>Yes</v>
      </c>
      <c r="T110" s="47">
        <f>ROUND(INDEX(Summary!H:H,MATCH(H:H,Summary!A:A,0)),2)</f>
        <v>1.68</v>
      </c>
      <c r="U110" s="47">
        <f>ROUND(INDEX(Summary!I:I,MATCH(H:H,Summary!A:A,0)),2)</f>
        <v>1.42</v>
      </c>
      <c r="V110" s="85">
        <f t="shared" si="39"/>
        <v>0</v>
      </c>
      <c r="W110" s="85">
        <f t="shared" si="39"/>
        <v>0</v>
      </c>
      <c r="X110" s="45">
        <f t="shared" si="40"/>
        <v>0</v>
      </c>
      <c r="Y110" s="45" t="s">
        <v>3223</v>
      </c>
      <c r="Z110" s="45" t="str">
        <f t="shared" si="41"/>
        <v>No</v>
      </c>
      <c r="AA110" s="45" t="str">
        <f t="shared" si="41"/>
        <v>No</v>
      </c>
      <c r="AB110" s="45" t="str">
        <f t="shared" si="42"/>
        <v>No</v>
      </c>
      <c r="AC110" s="86">
        <f t="shared" si="55"/>
        <v>0</v>
      </c>
      <c r="AD110" s="86">
        <f t="shared" si="56"/>
        <v>0</v>
      </c>
      <c r="AE110" s="45">
        <f t="shared" si="57"/>
        <v>0</v>
      </c>
      <c r="AF110" s="45">
        <f t="shared" si="57"/>
        <v>0</v>
      </c>
      <c r="AG110" s="45">
        <f t="shared" si="43"/>
        <v>0</v>
      </c>
      <c r="AH110" s="47">
        <f>IF(Y110="No",0,IFERROR(ROUNDDOWN(INDEX('90% of ACR'!K:K,MATCH(H:H,'90% of ACR'!A:A,0))*IF(I110&gt;0,IF(O110&gt;0,$R$4*MAX(O110-V110,0),0),0)/I110,2),0))</f>
        <v>0</v>
      </c>
      <c r="AI110" s="86">
        <f>IF(Y110="No",0,IFERROR(ROUNDDOWN(INDEX('90% of ACR'!R:R,MATCH(H:H,'90% of ACR'!A:A,0))*IF(J110&gt;0,IF(P110&gt;0,$R$4*MAX(P110-W110,0),0),0)/J110,2),0))</f>
        <v>0</v>
      </c>
      <c r="AJ110" s="45">
        <f t="shared" si="44"/>
        <v>0</v>
      </c>
      <c r="AK110" s="45">
        <f t="shared" si="44"/>
        <v>0</v>
      </c>
      <c r="AL110" s="47">
        <f t="shared" si="45"/>
        <v>1.68</v>
      </c>
      <c r="AM110" s="47">
        <f t="shared" si="45"/>
        <v>1.42</v>
      </c>
      <c r="AN110" s="87">
        <f>IFERROR(INDEX(FeeCalc!P:P,MATCH(C110,FeeCalc!F:F,0)),0)</f>
        <v>0</v>
      </c>
      <c r="AO110" s="87">
        <f>IFERROR(INDEX(FeeCalc!S:S,MATCH(C110,FeeCalc!F:F,0)),0)</f>
        <v>0</v>
      </c>
      <c r="AP110" s="87">
        <f t="shared" si="46"/>
        <v>0</v>
      </c>
      <c r="AQ110" s="72">
        <f t="shared" si="47"/>
        <v>0</v>
      </c>
      <c r="AR110" s="72">
        <f t="shared" si="48"/>
        <v>0</v>
      </c>
      <c r="AS110" s="72">
        <f t="shared" si="49"/>
        <v>0</v>
      </c>
      <c r="AT110" s="72">
        <f>IFERROR(IFERROR(INDEX('2023 IP UPL Data'!L:L,MATCH(A:A,'2023 IP UPL Data'!B:B,0)),INDEX('2023 IMD UPL Data'!I:I,MATCH(A:A,'2023 IMD UPL Data'!B:B,0))),0)</f>
        <v>706603.48124999984</v>
      </c>
      <c r="AU110" s="72">
        <f>IFERROR(IF(F108="IMD",0,INDEX('2023 OP UPL Data'!J:J,MATCH(A:A,'2023 OP UPL Data'!B:B,0))),0)</f>
        <v>168038.63750000001</v>
      </c>
      <c r="AV110" s="45">
        <f t="shared" si="50"/>
        <v>874642.11874999991</v>
      </c>
      <c r="AW110" s="72">
        <f>IFERROR(IFERROR(INDEX('2023 IP UPL Data'!M:M,MATCH(A:A,'2023 IP UPL Data'!B:B,0)),INDEX('2023 IMD UPL Data'!K:K,MATCH(A:A,'2023 IMD UPL Data'!B:B,0))),0)</f>
        <v>1858765.6</v>
      </c>
      <c r="AX110" s="72">
        <f>IFERROR(IF(F108="IMD",0,INDEX('2023 OP UPL Data'!L:L,MATCH(A:A,'2023 OP UPL Data'!B:B,0))),0)</f>
        <v>1115554.02</v>
      </c>
      <c r="AY110" s="45">
        <f t="shared" si="51"/>
        <v>2974319.62</v>
      </c>
      <c r="AZ110" s="72">
        <v>4367377.6063958807</v>
      </c>
      <c r="BA110" s="72">
        <v>1899145.4466716128</v>
      </c>
      <c r="BB110" s="72">
        <f t="shared" si="52"/>
        <v>4367377.6063958807</v>
      </c>
      <c r="BC110" s="72">
        <f t="shared" si="52"/>
        <v>1899145.4466716128</v>
      </c>
      <c r="BD110" s="72">
        <f t="shared" si="53"/>
        <v>6266523.0530674933</v>
      </c>
      <c r="BE110" s="94">
        <f t="shared" si="54"/>
        <v>2508612.0063958806</v>
      </c>
      <c r="BF110" s="94">
        <f t="shared" si="54"/>
        <v>783591.42667161277</v>
      </c>
      <c r="BG110" s="73">
        <f>IFERROR(INDEX('2023 IP UPL Data'!K:K,MATCH(A110,'2023 IP UPL Data'!B:B,0)),0)</f>
        <v>0</v>
      </c>
    </row>
    <row r="111" spans="1:59">
      <c r="A111" s="124" t="s">
        <v>524</v>
      </c>
      <c r="B111" s="149" t="s">
        <v>524</v>
      </c>
      <c r="C111" s="31" t="s">
        <v>525</v>
      </c>
      <c r="D111" s="181" t="s">
        <v>525</v>
      </c>
      <c r="E111" s="144" t="s">
        <v>2868</v>
      </c>
      <c r="F111" s="120" t="s">
        <v>2718</v>
      </c>
      <c r="G111" s="120" t="s">
        <v>223</v>
      </c>
      <c r="H111" s="43" t="str">
        <f t="shared" si="34"/>
        <v>Urban Dallas</v>
      </c>
      <c r="I111" s="45">
        <f>INDEX(FeeCalc!M:M,MATCH(C:C,FeeCalc!F:F,0))</f>
        <v>33035612.29896595</v>
      </c>
      <c r="J111" s="45">
        <f>INDEX(FeeCalc!L:L,MATCH(C:C,FeeCalc!F:F,0))</f>
        <v>4304276.7303850809</v>
      </c>
      <c r="K111" s="45">
        <f t="shared" si="35"/>
        <v>37339889.029351033</v>
      </c>
      <c r="L111" s="45">
        <f>IFERROR(IFERROR(INDEX('2023 IP UPL Data'!N:N,MATCH(A:A,'2023 IP UPL Data'!B:B,0)),INDEX('2023 IMD UPL Data'!M:M,MATCH(A:A,'2023 IMD UPL Data'!B:B,0))),0)</f>
        <v>26376399.778313264</v>
      </c>
      <c r="M111" s="45">
        <f>IFERROR((IF(F111="IMD",0,INDEX('2023 OP UPL Data'!M:M,MATCH(A:A,'2023 OP UPL Data'!B:B,0)))),0)</f>
        <v>6909482.8459036145</v>
      </c>
      <c r="N111" s="45">
        <f t="shared" si="36"/>
        <v>33285882.624216877</v>
      </c>
      <c r="O111" s="45">
        <v>54764118.274789587</v>
      </c>
      <c r="P111" s="45">
        <v>11608318.930447454</v>
      </c>
      <c r="Q111" s="45">
        <f t="shared" si="37"/>
        <v>66372437.205237038</v>
      </c>
      <c r="R111" s="45" t="str">
        <f t="shared" si="38"/>
        <v>Yes</v>
      </c>
      <c r="S111" s="46" t="str">
        <f t="shared" si="38"/>
        <v>Yes</v>
      </c>
      <c r="T111" s="47">
        <f>ROUND(INDEX(Summary!H:H,MATCH(H:H,Summary!A:A,0)),2)</f>
        <v>1.2</v>
      </c>
      <c r="U111" s="47">
        <f>ROUND(INDEX(Summary!I:I,MATCH(H:H,Summary!A:A,0)),2)</f>
        <v>1.08</v>
      </c>
      <c r="V111" s="85">
        <f t="shared" si="39"/>
        <v>39642734.758759141</v>
      </c>
      <c r="W111" s="85">
        <f t="shared" si="39"/>
        <v>4648618.8688158877</v>
      </c>
      <c r="X111" s="45">
        <f t="shared" si="40"/>
        <v>44291353.627575025</v>
      </c>
      <c r="Y111" s="45" t="s">
        <v>3223</v>
      </c>
      <c r="Z111" s="45" t="str">
        <f t="shared" si="41"/>
        <v>Yes</v>
      </c>
      <c r="AA111" s="45" t="str">
        <f t="shared" si="41"/>
        <v>Yes</v>
      </c>
      <c r="AB111" s="45" t="str">
        <f t="shared" si="42"/>
        <v>Yes</v>
      </c>
      <c r="AC111" s="86">
        <f t="shared" si="55"/>
        <v>0.32</v>
      </c>
      <c r="AD111" s="86">
        <f t="shared" si="56"/>
        <v>1.1299999999999999</v>
      </c>
      <c r="AE111" s="45">
        <f t="shared" si="57"/>
        <v>10571395.935669104</v>
      </c>
      <c r="AF111" s="45">
        <f t="shared" si="57"/>
        <v>4863832.7053351412</v>
      </c>
      <c r="AG111" s="45">
        <f t="shared" si="43"/>
        <v>15435228.641004246</v>
      </c>
      <c r="AH111" s="47">
        <f>IF(Y111="No",0,IFERROR(ROUNDDOWN(INDEX('90% of ACR'!K:K,MATCH(H:H,'90% of ACR'!A:A,0))*IF(I111&gt;0,IF(O111&gt;0,$R$4*MAX(O111-V111,0),0),0)/I111,2),0))</f>
        <v>0.3</v>
      </c>
      <c r="AI111" s="86">
        <f>IF(Y111="No",0,IFERROR(ROUNDDOWN(INDEX('90% of ACR'!R:R,MATCH(H:H,'90% of ACR'!A:A,0))*IF(J111&gt;0,IF(P111&gt;0,$R$4*MAX(P111-W111,0),0),0)/J111,2),0))</f>
        <v>1.1200000000000001</v>
      </c>
      <c r="AJ111" s="45">
        <f t="shared" si="44"/>
        <v>9910683.6896897852</v>
      </c>
      <c r="AK111" s="45">
        <f t="shared" si="44"/>
        <v>4820789.9380312907</v>
      </c>
      <c r="AL111" s="47">
        <f t="shared" si="45"/>
        <v>1.5</v>
      </c>
      <c r="AM111" s="47">
        <f t="shared" si="45"/>
        <v>2.2000000000000002</v>
      </c>
      <c r="AN111" s="87">
        <f>IFERROR(INDEX(FeeCalc!P:P,MATCH(C111,FeeCalc!F:F,0)),0)</f>
        <v>59022827.255296104</v>
      </c>
      <c r="AO111" s="87">
        <f>IFERROR(INDEX(FeeCalc!S:S,MATCH(C111,FeeCalc!F:F,0)),0)</f>
        <v>3711450.3983587162</v>
      </c>
      <c r="AP111" s="87">
        <f t="shared" si="46"/>
        <v>62734277.653654821</v>
      </c>
      <c r="AQ111" s="72">
        <f t="shared" si="47"/>
        <v>26620161.505330659</v>
      </c>
      <c r="AR111" s="72">
        <f t="shared" si="48"/>
        <v>13310080.75266533</v>
      </c>
      <c r="AS111" s="72">
        <f t="shared" si="49"/>
        <v>13310080.75266533</v>
      </c>
      <c r="AT111" s="72">
        <f>IFERROR(IFERROR(INDEX('2023 IP UPL Data'!L:L,MATCH(A:A,'2023 IP UPL Data'!B:B,0)),INDEX('2023 IMD UPL Data'!I:I,MATCH(A:A,'2023 IMD UPL Data'!B:B,0))),0)</f>
        <v>25166630.921686739</v>
      </c>
      <c r="AU111" s="72">
        <f>IFERROR(IF(F109="IMD",0,INDEX('2023 OP UPL Data'!J:J,MATCH(A:A,'2023 OP UPL Data'!B:B,0))),0)</f>
        <v>2493004.5240963851</v>
      </c>
      <c r="AV111" s="45">
        <f t="shared" si="50"/>
        <v>27659635.445783123</v>
      </c>
      <c r="AW111" s="72">
        <f>IFERROR(IFERROR(INDEX('2023 IP UPL Data'!M:M,MATCH(A:A,'2023 IP UPL Data'!B:B,0)),INDEX('2023 IMD UPL Data'!K:K,MATCH(A:A,'2023 IMD UPL Data'!B:B,0))),0)</f>
        <v>51543030.700000003</v>
      </c>
      <c r="AX111" s="72">
        <f>IFERROR(IF(F109="IMD",0,INDEX('2023 OP UPL Data'!L:L,MATCH(A:A,'2023 OP UPL Data'!B:B,0))),0)</f>
        <v>9402487.3699999992</v>
      </c>
      <c r="AY111" s="45">
        <f t="shared" si="51"/>
        <v>60945518.07</v>
      </c>
      <c r="AZ111" s="72">
        <v>79930749.196476325</v>
      </c>
      <c r="BA111" s="72">
        <v>14101323.454543838</v>
      </c>
      <c r="BB111" s="72">
        <f t="shared" si="52"/>
        <v>40288014.437717184</v>
      </c>
      <c r="BC111" s="72">
        <f t="shared" si="52"/>
        <v>9452704.5857279506</v>
      </c>
      <c r="BD111" s="72">
        <f t="shared" si="53"/>
        <v>49740719.023445144</v>
      </c>
      <c r="BE111" s="94">
        <f t="shared" si="54"/>
        <v>28387718.496476322</v>
      </c>
      <c r="BF111" s="94">
        <f t="shared" si="54"/>
        <v>4698836.0845438391</v>
      </c>
      <c r="BG111" s="73">
        <f>IFERROR(INDEX('2023 IP UPL Data'!K:K,MATCH(A111,'2023 IP UPL Data'!B:B,0)),0)</f>
        <v>0</v>
      </c>
    </row>
    <row r="112" spans="1:59">
      <c r="A112" s="124" t="s">
        <v>521</v>
      </c>
      <c r="B112" s="149" t="s">
        <v>3086</v>
      </c>
      <c r="C112" s="31" t="s">
        <v>522</v>
      </c>
      <c r="D112" s="181" t="s">
        <v>522</v>
      </c>
      <c r="E112" s="144" t="s">
        <v>3483</v>
      </c>
      <c r="F112" s="120" t="s">
        <v>2718</v>
      </c>
      <c r="G112" s="120" t="s">
        <v>223</v>
      </c>
      <c r="H112" s="43" t="str">
        <f t="shared" si="34"/>
        <v>Urban Dallas</v>
      </c>
      <c r="I112" s="45">
        <f>INDEX(FeeCalc!M:M,MATCH(C:C,FeeCalc!F:F,0))</f>
        <v>780526.25648519513</v>
      </c>
      <c r="J112" s="45">
        <f>INDEX(FeeCalc!L:L,MATCH(C:C,FeeCalc!F:F,0))</f>
        <v>110202.9805558479</v>
      </c>
      <c r="K112" s="45">
        <f t="shared" si="35"/>
        <v>890729.237041043</v>
      </c>
      <c r="L112" s="45">
        <f>IFERROR(IFERROR(INDEX('2023 IP UPL Data'!N:N,MATCH(A:A,'2023 IP UPL Data'!B:B,0)),INDEX('2023 IMD UPL Data'!M:M,MATCH(A:A,'2023 IMD UPL Data'!B:B,0))),0)</f>
        <v>293365.39819277113</v>
      </c>
      <c r="M112" s="45">
        <f>IFERROR((IF(F112="IMD",0,INDEX('2023 OP UPL Data'!M:M,MATCH(A:A,'2023 OP UPL Data'!B:B,0)))),0)</f>
        <v>712126.56433734938</v>
      </c>
      <c r="N112" s="45">
        <f t="shared" si="36"/>
        <v>1005491.9625301205</v>
      </c>
      <c r="O112" s="45">
        <v>1108093.3719750387</v>
      </c>
      <c r="P112" s="45">
        <v>1136372.1057786122</v>
      </c>
      <c r="Q112" s="45">
        <f t="shared" si="37"/>
        <v>2244465.4777536509</v>
      </c>
      <c r="R112" s="45" t="str">
        <f t="shared" si="38"/>
        <v>Yes</v>
      </c>
      <c r="S112" s="46" t="str">
        <f t="shared" si="38"/>
        <v>Yes</v>
      </c>
      <c r="T112" s="47">
        <f>ROUND(INDEX(Summary!H:H,MATCH(H:H,Summary!A:A,0)),2)</f>
        <v>1.2</v>
      </c>
      <c r="U112" s="47">
        <f>ROUND(INDEX(Summary!I:I,MATCH(H:H,Summary!A:A,0)),2)</f>
        <v>1.08</v>
      </c>
      <c r="V112" s="85">
        <f t="shared" si="39"/>
        <v>936631.50778223411</v>
      </c>
      <c r="W112" s="85">
        <f t="shared" si="39"/>
        <v>119019.21900031574</v>
      </c>
      <c r="X112" s="45">
        <f t="shared" si="40"/>
        <v>1055650.7267825499</v>
      </c>
      <c r="Y112" s="45" t="s">
        <v>3223</v>
      </c>
      <c r="Z112" s="45" t="str">
        <f t="shared" si="41"/>
        <v>Yes</v>
      </c>
      <c r="AA112" s="45" t="str">
        <f t="shared" si="41"/>
        <v>Yes</v>
      </c>
      <c r="AB112" s="45" t="str">
        <f t="shared" si="42"/>
        <v>Yes</v>
      </c>
      <c r="AC112" s="86">
        <f t="shared" si="55"/>
        <v>0.15</v>
      </c>
      <c r="AD112" s="86">
        <f t="shared" si="56"/>
        <v>6.43</v>
      </c>
      <c r="AE112" s="45">
        <f t="shared" si="57"/>
        <v>117078.93847277926</v>
      </c>
      <c r="AF112" s="45">
        <f t="shared" si="57"/>
        <v>708605.16497410194</v>
      </c>
      <c r="AG112" s="45">
        <f t="shared" si="43"/>
        <v>825684.10344688117</v>
      </c>
      <c r="AH112" s="47">
        <f>IF(Y112="No",0,IFERROR(ROUNDDOWN(INDEX('90% of ACR'!K:K,MATCH(H:H,'90% of ACR'!A:A,0))*IF(I112&gt;0,IF(O112&gt;0,$R$4*MAX(O112-V112,0),0),0)/I112,2),0))</f>
        <v>0.14000000000000001</v>
      </c>
      <c r="AI112" s="86">
        <f>IF(Y112="No",0,IFERROR(ROUNDDOWN(INDEX('90% of ACR'!R:R,MATCH(H:H,'90% of ACR'!A:A,0))*IF(J112&gt;0,IF(P112&gt;0,$R$4*MAX(P112-W112,0),0),0)/J112,2),0))</f>
        <v>6.43</v>
      </c>
      <c r="AJ112" s="45">
        <f t="shared" si="44"/>
        <v>109273.67590792733</v>
      </c>
      <c r="AK112" s="45">
        <f t="shared" si="44"/>
        <v>708605.16497410194</v>
      </c>
      <c r="AL112" s="47">
        <f t="shared" si="45"/>
        <v>1.3399999999999999</v>
      </c>
      <c r="AM112" s="47">
        <f t="shared" si="45"/>
        <v>7.51</v>
      </c>
      <c r="AN112" s="87">
        <f>IFERROR(INDEX(FeeCalc!P:P,MATCH(C112,FeeCalc!F:F,0)),0)</f>
        <v>1873529.567664579</v>
      </c>
      <c r="AO112" s="87">
        <f>IFERROR(INDEX(FeeCalc!S:S,MATCH(C112,FeeCalc!F:F,0)),0)</f>
        <v>119586.99368071783</v>
      </c>
      <c r="AP112" s="87">
        <f t="shared" si="46"/>
        <v>1993116.5613452969</v>
      </c>
      <c r="AQ112" s="72">
        <f t="shared" si="47"/>
        <v>845743.13670877274</v>
      </c>
      <c r="AR112" s="72">
        <f t="shared" si="48"/>
        <v>422871.56835438637</v>
      </c>
      <c r="AS112" s="72">
        <f t="shared" si="49"/>
        <v>422871.56835438637</v>
      </c>
      <c r="AT112" s="72">
        <f>IFERROR(IFERROR(INDEX('2023 IP UPL Data'!L:L,MATCH(A:A,'2023 IP UPL Data'!B:B,0)),INDEX('2023 IMD UPL Data'!I:I,MATCH(A:A,'2023 IMD UPL Data'!B:B,0))),0)</f>
        <v>313479.45180722885</v>
      </c>
      <c r="AU112" s="72">
        <f>IFERROR(IF(F110="IMD",0,INDEX('2023 OP UPL Data'!J:J,MATCH(A:A,'2023 OP UPL Data'!B:B,0))),0)</f>
        <v>124458.9156626506</v>
      </c>
      <c r="AV112" s="45">
        <f t="shared" si="50"/>
        <v>437938.36746987945</v>
      </c>
      <c r="AW112" s="72">
        <f>IFERROR(IFERROR(INDEX('2023 IP UPL Data'!M:M,MATCH(A:A,'2023 IP UPL Data'!B:B,0)),INDEX('2023 IMD UPL Data'!K:K,MATCH(A:A,'2023 IMD UPL Data'!B:B,0))),0)</f>
        <v>606844.85</v>
      </c>
      <c r="AX112" s="72">
        <f>IFERROR(IF(F110="IMD",0,INDEX('2023 OP UPL Data'!L:L,MATCH(A:A,'2023 OP UPL Data'!B:B,0))),0)</f>
        <v>836585.48</v>
      </c>
      <c r="AY112" s="45">
        <f t="shared" si="51"/>
        <v>1443430.33</v>
      </c>
      <c r="AZ112" s="72">
        <v>1421572.8237822675</v>
      </c>
      <c r="BA112" s="72">
        <v>1260831.0214412629</v>
      </c>
      <c r="BB112" s="72">
        <f t="shared" si="52"/>
        <v>484941.3160000334</v>
      </c>
      <c r="BC112" s="72">
        <f t="shared" si="52"/>
        <v>1141811.8024409472</v>
      </c>
      <c r="BD112" s="72">
        <f t="shared" si="53"/>
        <v>1626753.1184409803</v>
      </c>
      <c r="BE112" s="94">
        <f t="shared" si="54"/>
        <v>814727.97378226754</v>
      </c>
      <c r="BF112" s="94">
        <f t="shared" si="54"/>
        <v>424245.54144126293</v>
      </c>
      <c r="BG112" s="73">
        <f>IFERROR(INDEX('2023 IP UPL Data'!K:K,MATCH(A112,'2023 IP UPL Data'!B:B,0)),0)</f>
        <v>0</v>
      </c>
    </row>
    <row r="113" spans="1:59">
      <c r="A113" s="124" t="s">
        <v>1013</v>
      </c>
      <c r="B113" s="149" t="s">
        <v>1013</v>
      </c>
      <c r="C113" s="182" t="s">
        <v>1014</v>
      </c>
      <c r="D113" s="182" t="s">
        <v>1014</v>
      </c>
      <c r="E113" s="144" t="s">
        <v>3087</v>
      </c>
      <c r="F113" s="120" t="s">
        <v>2768</v>
      </c>
      <c r="G113" s="120" t="s">
        <v>1489</v>
      </c>
      <c r="H113" s="43" t="str">
        <f t="shared" si="34"/>
        <v>Rural MRSA Central</v>
      </c>
      <c r="I113" s="45">
        <f>INDEX(FeeCalc!M:M,MATCH(C:C,FeeCalc!F:F,0))</f>
        <v>2075701.8325193312</v>
      </c>
      <c r="J113" s="45">
        <f>INDEX(FeeCalc!L:L,MATCH(C:C,FeeCalc!F:F,0))</f>
        <v>1411150.8996394831</v>
      </c>
      <c r="K113" s="45">
        <f t="shared" si="35"/>
        <v>3486852.7321588146</v>
      </c>
      <c r="L113" s="45">
        <f>IFERROR(IFERROR(INDEX('2023 IP UPL Data'!N:N,MATCH(A:A,'2023 IP UPL Data'!B:B,0)),INDEX('2023 IMD UPL Data'!M:M,MATCH(A:A,'2023 IMD UPL Data'!B:B,0))),0)</f>
        <v>-466466.34752533562</v>
      </c>
      <c r="M113" s="45">
        <f>IFERROR((IF(F113="IMD",0,INDEX('2023 OP UPL Data'!M:M,MATCH(A:A,'2023 OP UPL Data'!B:B,0)))),0)</f>
        <v>722996.34821192035</v>
      </c>
      <c r="N113" s="45">
        <f t="shared" si="36"/>
        <v>256530.00068658474</v>
      </c>
      <c r="O113" s="45">
        <v>60966.60817667935</v>
      </c>
      <c r="P113" s="45">
        <v>1397296.956984404</v>
      </c>
      <c r="Q113" s="45">
        <f t="shared" si="37"/>
        <v>1458263.5651610834</v>
      </c>
      <c r="R113" s="45" t="str">
        <f t="shared" si="38"/>
        <v>Yes</v>
      </c>
      <c r="S113" s="46" t="str">
        <f t="shared" si="38"/>
        <v>Yes</v>
      </c>
      <c r="T113" s="47">
        <f>ROUND(INDEX(Summary!H:H,MATCH(H:H,Summary!A:A,0)),2)</f>
        <v>0</v>
      </c>
      <c r="U113" s="47">
        <f>ROUND(INDEX(Summary!I:I,MATCH(H:H,Summary!A:A,0)),2)</f>
        <v>0.17</v>
      </c>
      <c r="V113" s="85">
        <f t="shared" si="39"/>
        <v>0</v>
      </c>
      <c r="W113" s="85">
        <f t="shared" si="39"/>
        <v>239895.65293871213</v>
      </c>
      <c r="X113" s="45">
        <f t="shared" si="40"/>
        <v>239895.65293871213</v>
      </c>
      <c r="Y113" s="45" t="s">
        <v>3223</v>
      </c>
      <c r="Z113" s="45" t="str">
        <f t="shared" si="41"/>
        <v>No</v>
      </c>
      <c r="AA113" s="45" t="str">
        <f t="shared" si="41"/>
        <v>Yes</v>
      </c>
      <c r="AB113" s="45" t="str">
        <f t="shared" si="42"/>
        <v>Yes</v>
      </c>
      <c r="AC113" s="86">
        <f t="shared" si="55"/>
        <v>0.02</v>
      </c>
      <c r="AD113" s="86">
        <f t="shared" si="56"/>
        <v>0.56999999999999995</v>
      </c>
      <c r="AE113" s="45">
        <f t="shared" si="57"/>
        <v>41514.036650386624</v>
      </c>
      <c r="AF113" s="45">
        <f t="shared" si="57"/>
        <v>804356.01279450534</v>
      </c>
      <c r="AG113" s="45">
        <f t="shared" si="43"/>
        <v>845870.04944489198</v>
      </c>
      <c r="AH113" s="47">
        <f>IF(Y113="No",0,IFERROR(ROUNDDOWN(INDEX('90% of ACR'!K:K,MATCH(H:H,'90% of ACR'!A:A,0))*IF(I113&gt;0,IF(O113&gt;0,$R$4*MAX(O113-V113,0),0),0)/I113,2),0))</f>
        <v>0</v>
      </c>
      <c r="AI113" s="86">
        <f>IF(Y113="No",0,IFERROR(ROUNDDOWN(INDEX('90% of ACR'!R:R,MATCH(H:H,'90% of ACR'!A:A,0))*IF(J113&gt;0,IF(P113&gt;0,$R$4*MAX(P113-W113,0),0),0)/J113,2),0))</f>
        <v>0.56999999999999995</v>
      </c>
      <c r="AJ113" s="45">
        <f t="shared" si="44"/>
        <v>0</v>
      </c>
      <c r="AK113" s="45">
        <f t="shared" si="44"/>
        <v>804356.01279450534</v>
      </c>
      <c r="AL113" s="47">
        <f t="shared" si="45"/>
        <v>0</v>
      </c>
      <c r="AM113" s="47">
        <f t="shared" si="45"/>
        <v>0.74</v>
      </c>
      <c r="AN113" s="87">
        <f>IFERROR(INDEX(FeeCalc!P:P,MATCH(C113,FeeCalc!F:F,0)),0)</f>
        <v>1044251.6657332175</v>
      </c>
      <c r="AO113" s="87">
        <f>IFERROR(INDEX(FeeCalc!S:S,MATCH(C113,FeeCalc!F:F,0)),0)</f>
        <v>64479.392250470926</v>
      </c>
      <c r="AP113" s="87">
        <f t="shared" si="46"/>
        <v>1108731.0579836883</v>
      </c>
      <c r="AQ113" s="72">
        <f t="shared" si="47"/>
        <v>470470.06729633454</v>
      </c>
      <c r="AR113" s="72">
        <f t="shared" si="48"/>
        <v>235235.03364816727</v>
      </c>
      <c r="AS113" s="72">
        <f t="shared" si="49"/>
        <v>235235.03364816727</v>
      </c>
      <c r="AT113" s="72">
        <f>IFERROR(IFERROR(INDEX('2023 IP UPL Data'!L:L,MATCH(A:A,'2023 IP UPL Data'!B:B,0)),INDEX('2023 IMD UPL Data'!I:I,MATCH(A:A,'2023 IMD UPL Data'!B:B,0))),0)</f>
        <v>1971238.9475253357</v>
      </c>
      <c r="AU113" s="72">
        <f>IFERROR(IF(F111="IMD",0,INDEX('2023 OP UPL Data'!J:J,MATCH(A:A,'2023 OP UPL Data'!B:B,0))),0)</f>
        <v>696068.83178807958</v>
      </c>
      <c r="AV113" s="45">
        <f t="shared" si="50"/>
        <v>2667307.7793134153</v>
      </c>
      <c r="AW113" s="72">
        <f>IFERROR(IFERROR(INDEX('2023 IP UPL Data'!M:M,MATCH(A:A,'2023 IP UPL Data'!B:B,0)),INDEX('2023 IMD UPL Data'!K:K,MATCH(A:A,'2023 IMD UPL Data'!B:B,0))),0)</f>
        <v>1504772.6</v>
      </c>
      <c r="AX113" s="72">
        <f>IFERROR(IF(F111="IMD",0,INDEX('2023 OP UPL Data'!L:L,MATCH(A:A,'2023 OP UPL Data'!B:B,0))),0)</f>
        <v>1419065.18</v>
      </c>
      <c r="AY113" s="45">
        <f t="shared" si="51"/>
        <v>2923837.7800000003</v>
      </c>
      <c r="AZ113" s="72">
        <v>2032205.5557020151</v>
      </c>
      <c r="BA113" s="72">
        <v>2093365.7887724836</v>
      </c>
      <c r="BB113" s="72">
        <f t="shared" si="52"/>
        <v>2032205.5557020151</v>
      </c>
      <c r="BC113" s="72">
        <f t="shared" si="52"/>
        <v>1853470.1358337714</v>
      </c>
      <c r="BD113" s="72">
        <f t="shared" si="53"/>
        <v>3885675.6915357867</v>
      </c>
      <c r="BE113" s="94">
        <f t="shared" si="54"/>
        <v>527432.95570201497</v>
      </c>
      <c r="BF113" s="94">
        <f t="shared" si="54"/>
        <v>674300.60877248365</v>
      </c>
      <c r="BG113" s="73">
        <f>IFERROR(INDEX('2023 IP UPL Data'!K:K,MATCH(A113,'2023 IP UPL Data'!B:B,0)),0)</f>
        <v>0</v>
      </c>
    </row>
    <row r="114" spans="1:59">
      <c r="A114" s="124" t="s">
        <v>1007</v>
      </c>
      <c r="B114" s="149" t="s">
        <v>1007</v>
      </c>
      <c r="C114" s="31" t="s">
        <v>1008</v>
      </c>
      <c r="D114" s="181" t="s">
        <v>1008</v>
      </c>
      <c r="E114" s="144" t="s">
        <v>3090</v>
      </c>
      <c r="F114" s="120" t="s">
        <v>2768</v>
      </c>
      <c r="G114" s="120" t="s">
        <v>1202</v>
      </c>
      <c r="H114" s="43" t="str">
        <f t="shared" si="34"/>
        <v>Rural Travis</v>
      </c>
      <c r="I114" s="45">
        <f>INDEX(FeeCalc!M:M,MATCH(C:C,FeeCalc!F:F,0))</f>
        <v>317661.28290849429</v>
      </c>
      <c r="J114" s="45">
        <f>INDEX(FeeCalc!L:L,MATCH(C:C,FeeCalc!F:F,0))</f>
        <v>1364151.3295569266</v>
      </c>
      <c r="K114" s="45">
        <f t="shared" si="35"/>
        <v>1681812.612465421</v>
      </c>
      <c r="L114" s="45">
        <f>IFERROR(IFERROR(INDEX('2023 IP UPL Data'!N:N,MATCH(A:A,'2023 IP UPL Data'!B:B,0)),INDEX('2023 IMD UPL Data'!M:M,MATCH(A:A,'2023 IMD UPL Data'!B:B,0))),0)</f>
        <v>-111068.20480956181</v>
      </c>
      <c r="M114" s="45">
        <f>IFERROR((IF(F114="IMD",0,INDEX('2023 OP UPL Data'!M:M,MATCH(A:A,'2023 OP UPL Data'!B:B,0)))),0)</f>
        <v>-355849.62139240501</v>
      </c>
      <c r="N114" s="45">
        <f t="shared" si="36"/>
        <v>-466917.82620196685</v>
      </c>
      <c r="O114" s="45">
        <v>-50839.496723290446</v>
      </c>
      <c r="P114" s="45">
        <v>971886.30029876216</v>
      </c>
      <c r="Q114" s="45">
        <f t="shared" si="37"/>
        <v>921046.80357547174</v>
      </c>
      <c r="R114" s="45" t="str">
        <f t="shared" si="38"/>
        <v>No</v>
      </c>
      <c r="S114" s="46" t="str">
        <f t="shared" si="38"/>
        <v>Yes</v>
      </c>
      <c r="T114" s="47">
        <f>ROUND(INDEX(Summary!H:H,MATCH(H:H,Summary!A:A,0)),2)</f>
        <v>0</v>
      </c>
      <c r="U114" s="47">
        <f>ROUND(INDEX(Summary!I:I,MATCH(H:H,Summary!A:A,0)),2)</f>
        <v>0.17</v>
      </c>
      <c r="V114" s="85">
        <f t="shared" si="39"/>
        <v>0</v>
      </c>
      <c r="W114" s="85">
        <f t="shared" si="39"/>
        <v>231905.72602467754</v>
      </c>
      <c r="X114" s="45">
        <f t="shared" si="40"/>
        <v>231905.72602467754</v>
      </c>
      <c r="Y114" s="45" t="s">
        <v>3223</v>
      </c>
      <c r="Z114" s="45" t="str">
        <f t="shared" si="41"/>
        <v>No</v>
      </c>
      <c r="AA114" s="45" t="str">
        <f t="shared" si="41"/>
        <v>Yes</v>
      </c>
      <c r="AB114" s="45" t="str">
        <f t="shared" si="42"/>
        <v>Yes</v>
      </c>
      <c r="AC114" s="86">
        <f t="shared" si="55"/>
        <v>0</v>
      </c>
      <c r="AD114" s="86">
        <f t="shared" si="56"/>
        <v>0.38</v>
      </c>
      <c r="AE114" s="45">
        <f t="shared" si="57"/>
        <v>0</v>
      </c>
      <c r="AF114" s="45">
        <f t="shared" si="57"/>
        <v>518377.50523163209</v>
      </c>
      <c r="AG114" s="45">
        <f t="shared" si="43"/>
        <v>518377.50523163209</v>
      </c>
      <c r="AH114" s="47">
        <f>IF(Y114="No",0,IFERROR(ROUNDDOWN(INDEX('90% of ACR'!K:K,MATCH(H:H,'90% of ACR'!A:A,0))*IF(I114&gt;0,IF(O114&gt;0,$R$4*MAX(O114-V114,0),0),0)/I114,2),0))</f>
        <v>0</v>
      </c>
      <c r="AI114" s="86">
        <f>IF(Y114="No",0,IFERROR(ROUNDDOWN(INDEX('90% of ACR'!R:R,MATCH(H:H,'90% of ACR'!A:A,0))*IF(J114&gt;0,IF(P114&gt;0,$R$4*MAX(P114-W114,0),0),0)/J114,2),0))</f>
        <v>0.37</v>
      </c>
      <c r="AJ114" s="45">
        <f t="shared" si="44"/>
        <v>0</v>
      </c>
      <c r="AK114" s="45">
        <f t="shared" si="44"/>
        <v>504735.99193606287</v>
      </c>
      <c r="AL114" s="47">
        <f t="shared" si="45"/>
        <v>0</v>
      </c>
      <c r="AM114" s="47">
        <f t="shared" si="45"/>
        <v>0.54</v>
      </c>
      <c r="AN114" s="87">
        <f>IFERROR(INDEX(FeeCalc!P:P,MATCH(C114,FeeCalc!F:F,0)),0)</f>
        <v>736641.71796074044</v>
      </c>
      <c r="AO114" s="87">
        <f>IFERROR(INDEX(FeeCalc!S:S,MATCH(C114,FeeCalc!F:F,0)),0)</f>
        <v>45475.361031834575</v>
      </c>
      <c r="AP114" s="87">
        <f t="shared" si="46"/>
        <v>782117.07899257506</v>
      </c>
      <c r="AQ114" s="72">
        <f t="shared" si="47"/>
        <v>331877.30436307739</v>
      </c>
      <c r="AR114" s="72">
        <f t="shared" si="48"/>
        <v>165938.6521815387</v>
      </c>
      <c r="AS114" s="72">
        <f t="shared" si="49"/>
        <v>165938.6521815387</v>
      </c>
      <c r="AT114" s="72">
        <f>IFERROR(IFERROR(INDEX('2023 IP UPL Data'!L:L,MATCH(A:A,'2023 IP UPL Data'!B:B,0)),INDEX('2023 IMD UPL Data'!I:I,MATCH(A:A,'2023 IMD UPL Data'!B:B,0))),0)</f>
        <v>280029.43480956182</v>
      </c>
      <c r="AU114" s="72">
        <f>IFERROR(IF(F112="IMD",0,INDEX('2023 OP UPL Data'!J:J,MATCH(A:A,'2023 OP UPL Data'!B:B,0))),0)</f>
        <v>748856.611392405</v>
      </c>
      <c r="AV114" s="45">
        <f t="shared" si="50"/>
        <v>1028886.0462019668</v>
      </c>
      <c r="AW114" s="72">
        <f>IFERROR(IFERROR(INDEX('2023 IP UPL Data'!M:M,MATCH(A:A,'2023 IP UPL Data'!B:B,0)),INDEX('2023 IMD UPL Data'!K:K,MATCH(A:A,'2023 IMD UPL Data'!B:B,0))),0)</f>
        <v>168961.23</v>
      </c>
      <c r="AX114" s="72">
        <f>IFERROR(IF(F112="IMD",0,INDEX('2023 OP UPL Data'!L:L,MATCH(A:A,'2023 OP UPL Data'!B:B,0))),0)</f>
        <v>393006.99</v>
      </c>
      <c r="AY114" s="45">
        <f t="shared" si="51"/>
        <v>561968.22</v>
      </c>
      <c r="AZ114" s="72">
        <v>229189.93808627137</v>
      </c>
      <c r="BA114" s="72">
        <v>1720742.9116911672</v>
      </c>
      <c r="BB114" s="72">
        <f t="shared" si="52"/>
        <v>229189.93808627137</v>
      </c>
      <c r="BC114" s="72">
        <f t="shared" si="52"/>
        <v>1488837.1856664896</v>
      </c>
      <c r="BD114" s="72">
        <f t="shared" si="53"/>
        <v>1718027.1237527609</v>
      </c>
      <c r="BE114" s="94">
        <f t="shared" si="54"/>
        <v>60228.708086271363</v>
      </c>
      <c r="BF114" s="94">
        <f t="shared" si="54"/>
        <v>1327735.9216911672</v>
      </c>
      <c r="BG114" s="73">
        <f>IFERROR(INDEX('2023 IP UPL Data'!K:K,MATCH(A114,'2023 IP UPL Data'!B:B,0)),0)</f>
        <v>0</v>
      </c>
    </row>
    <row r="115" spans="1:59">
      <c r="A115" s="124" t="s">
        <v>443</v>
      </c>
      <c r="B115" s="149" t="s">
        <v>443</v>
      </c>
      <c r="C115" s="31" t="s">
        <v>444</v>
      </c>
      <c r="D115" s="181" t="s">
        <v>444</v>
      </c>
      <c r="E115" s="144" t="s">
        <v>3484</v>
      </c>
      <c r="F115" s="120" t="s">
        <v>2718</v>
      </c>
      <c r="G115" s="120" t="s">
        <v>1366</v>
      </c>
      <c r="H115" s="43" t="str">
        <f t="shared" si="34"/>
        <v>Urban Tarrant</v>
      </c>
      <c r="I115" s="45">
        <f>INDEX(FeeCalc!M:M,MATCH(C:C,FeeCalc!F:F,0))</f>
        <v>0</v>
      </c>
      <c r="J115" s="45">
        <f>INDEX(FeeCalc!L:L,MATCH(C:C,FeeCalc!F:F,0))</f>
        <v>0</v>
      </c>
      <c r="K115" s="45">
        <f t="shared" si="35"/>
        <v>0</v>
      </c>
      <c r="L115" s="45">
        <f>IFERROR(IFERROR(INDEX('2023 IP UPL Data'!N:N,MATCH(A:A,'2023 IP UPL Data'!B:B,0)),INDEX('2023 IMD UPL Data'!M:M,MATCH(A:A,'2023 IMD UPL Data'!B:B,0))),0)</f>
        <v>51870.775000000001</v>
      </c>
      <c r="M115" s="45">
        <f>IFERROR((IF(F115="IMD",0,INDEX('2023 OP UPL Data'!M:M,MATCH(A:A,'2023 OP UPL Data'!B:B,0)))),0)</f>
        <v>17203.793749999997</v>
      </c>
      <c r="N115" s="45">
        <f t="shared" si="36"/>
        <v>69074.568750000006</v>
      </c>
      <c r="O115" s="45">
        <v>172785.11153978552</v>
      </c>
      <c r="P115" s="45">
        <v>41125.777716704208</v>
      </c>
      <c r="Q115" s="45">
        <f t="shared" si="37"/>
        <v>213910.88925648973</v>
      </c>
      <c r="R115" s="45" t="str">
        <f t="shared" si="38"/>
        <v>Yes</v>
      </c>
      <c r="S115" s="46" t="str">
        <f t="shared" si="38"/>
        <v>Yes</v>
      </c>
      <c r="T115" s="47">
        <f>ROUND(INDEX(Summary!H:H,MATCH(H:H,Summary!A:A,0)),2)</f>
        <v>1.68</v>
      </c>
      <c r="U115" s="47">
        <f>ROUND(INDEX(Summary!I:I,MATCH(H:H,Summary!A:A,0)),2)</f>
        <v>1.42</v>
      </c>
      <c r="V115" s="85">
        <f t="shared" si="39"/>
        <v>0</v>
      </c>
      <c r="W115" s="85">
        <f t="shared" si="39"/>
        <v>0</v>
      </c>
      <c r="X115" s="45">
        <f t="shared" si="40"/>
        <v>0</v>
      </c>
      <c r="Y115" s="45" t="s">
        <v>3223</v>
      </c>
      <c r="Z115" s="45" t="str">
        <f t="shared" si="41"/>
        <v>No</v>
      </c>
      <c r="AA115" s="45" t="str">
        <f t="shared" si="41"/>
        <v>No</v>
      </c>
      <c r="AB115" s="45" t="str">
        <f t="shared" si="42"/>
        <v>No</v>
      </c>
      <c r="AC115" s="86">
        <f t="shared" si="55"/>
        <v>0</v>
      </c>
      <c r="AD115" s="86">
        <f t="shared" si="56"/>
        <v>0</v>
      </c>
      <c r="AE115" s="45">
        <f t="shared" si="57"/>
        <v>0</v>
      </c>
      <c r="AF115" s="45">
        <f t="shared" si="57"/>
        <v>0</v>
      </c>
      <c r="AG115" s="45">
        <f t="shared" si="43"/>
        <v>0</v>
      </c>
      <c r="AH115" s="47">
        <f>IF(Y115="No",0,IFERROR(ROUNDDOWN(INDEX('90% of ACR'!K:K,MATCH(H:H,'90% of ACR'!A:A,0))*IF(I115&gt;0,IF(O115&gt;0,$R$4*MAX(O115-V115,0),0),0)/I115,2),0))</f>
        <v>0</v>
      </c>
      <c r="AI115" s="86">
        <f>IF(Y115="No",0,IFERROR(ROUNDDOWN(INDEX('90% of ACR'!R:R,MATCH(H:H,'90% of ACR'!A:A,0))*IF(J115&gt;0,IF(P115&gt;0,$R$4*MAX(P115-W115,0),0),0)/J115,2),0))</f>
        <v>0</v>
      </c>
      <c r="AJ115" s="45">
        <f t="shared" si="44"/>
        <v>0</v>
      </c>
      <c r="AK115" s="45">
        <f t="shared" si="44"/>
        <v>0</v>
      </c>
      <c r="AL115" s="47">
        <f t="shared" si="45"/>
        <v>1.68</v>
      </c>
      <c r="AM115" s="47">
        <f t="shared" si="45"/>
        <v>1.42</v>
      </c>
      <c r="AN115" s="87">
        <f>IFERROR(INDEX(FeeCalc!P:P,MATCH(C115,FeeCalc!F:F,0)),0)</f>
        <v>0</v>
      </c>
      <c r="AO115" s="87">
        <f>IFERROR(INDEX(FeeCalc!S:S,MATCH(C115,FeeCalc!F:F,0)),0)</f>
        <v>0</v>
      </c>
      <c r="AP115" s="87">
        <f t="shared" si="46"/>
        <v>0</v>
      </c>
      <c r="AQ115" s="72">
        <f t="shared" si="47"/>
        <v>0</v>
      </c>
      <c r="AR115" s="72">
        <f t="shared" si="48"/>
        <v>0</v>
      </c>
      <c r="AS115" s="72">
        <f t="shared" si="49"/>
        <v>0</v>
      </c>
      <c r="AT115" s="72">
        <f>IFERROR(IFERROR(INDEX('2023 IP UPL Data'!L:L,MATCH(A:A,'2023 IP UPL Data'!B:B,0)),INDEX('2023 IMD UPL Data'!I:I,MATCH(A:A,'2023 IMD UPL Data'!B:B,0))),0)</f>
        <v>26414.075000000004</v>
      </c>
      <c r="AU115" s="72">
        <f>IFERROR(IF(F113="IMD",0,INDEX('2023 OP UPL Data'!J:J,MATCH(A:A,'2023 OP UPL Data'!B:B,0))),0)</f>
        <v>4334.2562500000004</v>
      </c>
      <c r="AV115" s="45">
        <f t="shared" si="50"/>
        <v>30748.331250000003</v>
      </c>
      <c r="AW115" s="72">
        <f>IFERROR(IFERROR(INDEX('2023 IP UPL Data'!M:M,MATCH(A:A,'2023 IP UPL Data'!B:B,0)),INDEX('2023 IMD UPL Data'!K:K,MATCH(A:A,'2023 IMD UPL Data'!B:B,0))),0)</f>
        <v>78284.850000000006</v>
      </c>
      <c r="AX115" s="72">
        <f>IFERROR(IF(F113="IMD",0,INDEX('2023 OP UPL Data'!L:L,MATCH(A:A,'2023 OP UPL Data'!B:B,0))),0)</f>
        <v>21538.05</v>
      </c>
      <c r="AY115" s="45">
        <f t="shared" si="51"/>
        <v>99822.900000000009</v>
      </c>
      <c r="AZ115" s="72">
        <v>199199.18653978553</v>
      </c>
      <c r="BA115" s="72">
        <v>45460.033966704206</v>
      </c>
      <c r="BB115" s="72">
        <f t="shared" si="52"/>
        <v>199199.18653978553</v>
      </c>
      <c r="BC115" s="72">
        <f t="shared" si="52"/>
        <v>45460.033966704206</v>
      </c>
      <c r="BD115" s="72">
        <f t="shared" si="53"/>
        <v>244659.22050648974</v>
      </c>
      <c r="BE115" s="94">
        <f t="shared" si="54"/>
        <v>120914.33653978552</v>
      </c>
      <c r="BF115" s="94">
        <f t="shared" si="54"/>
        <v>23921.983966704207</v>
      </c>
      <c r="BG115" s="73">
        <f>IFERROR(INDEX('2023 IP UPL Data'!K:K,MATCH(A115,'2023 IP UPL Data'!B:B,0)),0)</f>
        <v>0</v>
      </c>
    </row>
    <row r="116" spans="1:59">
      <c r="A116" s="124" t="s">
        <v>431</v>
      </c>
      <c r="B116" s="149" t="s">
        <v>431</v>
      </c>
      <c r="C116" s="31" t="s">
        <v>432</v>
      </c>
      <c r="D116" s="181" t="s">
        <v>432</v>
      </c>
      <c r="E116" s="144" t="s">
        <v>3485</v>
      </c>
      <c r="F116" s="120" t="s">
        <v>2718</v>
      </c>
      <c r="G116" s="120" t="s">
        <v>223</v>
      </c>
      <c r="H116" s="43" t="str">
        <f t="shared" si="34"/>
        <v>Urban Dallas</v>
      </c>
      <c r="I116" s="45">
        <f>INDEX(FeeCalc!M:M,MATCH(C:C,FeeCalc!F:F,0))</f>
        <v>293131.06028008583</v>
      </c>
      <c r="J116" s="45">
        <f>INDEX(FeeCalc!L:L,MATCH(C:C,FeeCalc!F:F,0))</f>
        <v>51200.229222280861</v>
      </c>
      <c r="K116" s="45">
        <f t="shared" si="35"/>
        <v>344331.28950236668</v>
      </c>
      <c r="L116" s="45">
        <f>IFERROR(IFERROR(INDEX('2023 IP UPL Data'!N:N,MATCH(A:A,'2023 IP UPL Data'!B:B,0)),INDEX('2023 IMD UPL Data'!M:M,MATCH(A:A,'2023 IMD UPL Data'!B:B,0))),0)</f>
        <v>865570.79481927725</v>
      </c>
      <c r="M116" s="45">
        <f>IFERROR((IF(F116="IMD",0,INDEX('2023 OP UPL Data'!M:M,MATCH(A:A,'2023 OP UPL Data'!B:B,0)))),0)</f>
        <v>287794.83084337349</v>
      </c>
      <c r="N116" s="45">
        <f t="shared" si="36"/>
        <v>1153365.6256626507</v>
      </c>
      <c r="O116" s="45">
        <v>3243452.5836085649</v>
      </c>
      <c r="P116" s="45">
        <v>671194.66447479185</v>
      </c>
      <c r="Q116" s="45">
        <f t="shared" si="37"/>
        <v>3914647.2480833568</v>
      </c>
      <c r="R116" s="45" t="str">
        <f t="shared" si="38"/>
        <v>Yes</v>
      </c>
      <c r="S116" s="46" t="str">
        <f t="shared" si="38"/>
        <v>Yes</v>
      </c>
      <c r="T116" s="47">
        <f>ROUND(INDEX(Summary!H:H,MATCH(H:H,Summary!A:A,0)),2)</f>
        <v>1.2</v>
      </c>
      <c r="U116" s="47">
        <f>ROUND(INDEX(Summary!I:I,MATCH(H:H,Summary!A:A,0)),2)</f>
        <v>1.08</v>
      </c>
      <c r="V116" s="85">
        <f t="shared" si="39"/>
        <v>351757.27233610296</v>
      </c>
      <c r="W116" s="85">
        <f t="shared" si="39"/>
        <v>55296.247560063333</v>
      </c>
      <c r="X116" s="45">
        <f t="shared" si="40"/>
        <v>407053.51989616628</v>
      </c>
      <c r="Y116" s="45" t="s">
        <v>3223</v>
      </c>
      <c r="Z116" s="45" t="str">
        <f t="shared" si="41"/>
        <v>Yes</v>
      </c>
      <c r="AA116" s="45" t="str">
        <f t="shared" si="41"/>
        <v>Yes</v>
      </c>
      <c r="AB116" s="45" t="str">
        <f t="shared" si="42"/>
        <v>Yes</v>
      </c>
      <c r="AC116" s="86">
        <f t="shared" si="55"/>
        <v>6.87</v>
      </c>
      <c r="AD116" s="86">
        <f t="shared" si="56"/>
        <v>8.3800000000000008</v>
      </c>
      <c r="AE116" s="45">
        <f t="shared" si="57"/>
        <v>2013810.3841241896</v>
      </c>
      <c r="AF116" s="45">
        <f t="shared" si="57"/>
        <v>429057.92088271363</v>
      </c>
      <c r="AG116" s="45">
        <f t="shared" si="43"/>
        <v>2442868.3050069031</v>
      </c>
      <c r="AH116" s="47">
        <f>IF(Y116="No",0,IFERROR(ROUNDDOWN(INDEX('90% of ACR'!K:K,MATCH(H:H,'90% of ACR'!A:A,0))*IF(I116&gt;0,IF(O116&gt;0,$R$4*MAX(O116-V116,0),0),0)/I116,2),0))</f>
        <v>6.63</v>
      </c>
      <c r="AI116" s="86">
        <f>IF(Y116="No",0,IFERROR(ROUNDDOWN(INDEX('90% of ACR'!R:R,MATCH(H:H,'90% of ACR'!A:A,0))*IF(J116&gt;0,IF(P116&gt;0,$R$4*MAX(P116-W116,0),0),0)/J116,2),0))</f>
        <v>8.3800000000000008</v>
      </c>
      <c r="AJ116" s="45">
        <f t="shared" si="44"/>
        <v>1943458.9296569692</v>
      </c>
      <c r="AK116" s="45">
        <f t="shared" si="44"/>
        <v>429057.92088271363</v>
      </c>
      <c r="AL116" s="47">
        <f t="shared" si="45"/>
        <v>7.83</v>
      </c>
      <c r="AM116" s="47">
        <f t="shared" si="45"/>
        <v>9.4600000000000009</v>
      </c>
      <c r="AN116" s="87">
        <f>IFERROR(INDEX(FeeCalc!P:P,MATCH(C116,FeeCalc!F:F,0)),0)</f>
        <v>2779570.3704358488</v>
      </c>
      <c r="AO116" s="87">
        <f>IFERROR(INDEX(FeeCalc!S:S,MATCH(C116,FeeCalc!F:F,0)),0)</f>
        <v>177419.38534696912</v>
      </c>
      <c r="AP116" s="87">
        <f t="shared" si="46"/>
        <v>2956989.755782818</v>
      </c>
      <c r="AQ116" s="72">
        <f t="shared" si="47"/>
        <v>1254745.3770508347</v>
      </c>
      <c r="AR116" s="72">
        <f t="shared" si="48"/>
        <v>627372.68852541735</v>
      </c>
      <c r="AS116" s="72">
        <f t="shared" si="49"/>
        <v>627372.68852541735</v>
      </c>
      <c r="AT116" s="72">
        <f>IFERROR(IFERROR(INDEX('2023 IP UPL Data'!L:L,MATCH(A:A,'2023 IP UPL Data'!B:B,0)),INDEX('2023 IMD UPL Data'!I:I,MATCH(A:A,'2023 IMD UPL Data'!B:B,0))),0)</f>
        <v>452647.7951807229</v>
      </c>
      <c r="AU116" s="72">
        <f>IFERROR(IF(F114="IMD",0,INDEX('2023 OP UPL Data'!J:J,MATCH(A:A,'2023 OP UPL Data'!B:B,0))),0)</f>
        <v>77982.789156626503</v>
      </c>
      <c r="AV116" s="45">
        <f t="shared" si="50"/>
        <v>530630.5843373494</v>
      </c>
      <c r="AW116" s="72">
        <f>IFERROR(IFERROR(INDEX('2023 IP UPL Data'!M:M,MATCH(A:A,'2023 IP UPL Data'!B:B,0)),INDEX('2023 IMD UPL Data'!K:K,MATCH(A:A,'2023 IMD UPL Data'!B:B,0))),0)</f>
        <v>1318218.5900000001</v>
      </c>
      <c r="AX116" s="72">
        <f>IFERROR(IF(F114="IMD",0,INDEX('2023 OP UPL Data'!L:L,MATCH(A:A,'2023 OP UPL Data'!B:B,0))),0)</f>
        <v>365777.62</v>
      </c>
      <c r="AY116" s="45">
        <f t="shared" si="51"/>
        <v>1683996.21</v>
      </c>
      <c r="AZ116" s="72">
        <v>3696100.378789288</v>
      </c>
      <c r="BA116" s="72">
        <v>749177.45363141841</v>
      </c>
      <c r="BB116" s="72">
        <f t="shared" si="52"/>
        <v>3344343.106453185</v>
      </c>
      <c r="BC116" s="72">
        <f t="shared" si="52"/>
        <v>693881.20607135503</v>
      </c>
      <c r="BD116" s="72">
        <f t="shared" si="53"/>
        <v>4038224.3125245403</v>
      </c>
      <c r="BE116" s="94">
        <f t="shared" si="54"/>
        <v>2377881.7887892881</v>
      </c>
      <c r="BF116" s="94">
        <f t="shared" si="54"/>
        <v>383399.83363141841</v>
      </c>
      <c r="BG116" s="73">
        <f>IFERROR(INDEX('2023 IP UPL Data'!K:K,MATCH(A116,'2023 IP UPL Data'!B:B,0)),0)</f>
        <v>0</v>
      </c>
    </row>
    <row r="117" spans="1:59">
      <c r="A117" s="124" t="s">
        <v>2721</v>
      </c>
      <c r="B117" s="149" t="s">
        <v>2721</v>
      </c>
      <c r="C117" s="31" t="s">
        <v>2722</v>
      </c>
      <c r="D117" s="181" t="s">
        <v>2722</v>
      </c>
      <c r="E117" s="144" t="s">
        <v>3486</v>
      </c>
      <c r="F117" s="120" t="s">
        <v>2718</v>
      </c>
      <c r="G117" s="120" t="s">
        <v>1202</v>
      </c>
      <c r="H117" s="43" t="str">
        <f t="shared" si="34"/>
        <v>Urban Travis</v>
      </c>
      <c r="I117" s="45">
        <f>INDEX(FeeCalc!M:M,MATCH(C:C,FeeCalc!F:F,0))</f>
        <v>68010.480427652612</v>
      </c>
      <c r="J117" s="45">
        <f>INDEX(FeeCalc!L:L,MATCH(C:C,FeeCalc!F:F,0))</f>
        <v>281876.997730523</v>
      </c>
      <c r="K117" s="45">
        <f t="shared" si="35"/>
        <v>349887.4781581756</v>
      </c>
      <c r="L117" s="45">
        <f>IFERROR(IFERROR(INDEX('2023 IP UPL Data'!N:N,MATCH(A:A,'2023 IP UPL Data'!B:B,0)),INDEX('2023 IMD UPL Data'!M:M,MATCH(A:A,'2023 IMD UPL Data'!B:B,0))),0)</f>
        <v>56188.90417721519</v>
      </c>
      <c r="M117" s="45">
        <f>IFERROR((IF(F117="IMD",0,INDEX('2023 OP UPL Data'!M:M,MATCH(A:A,'2023 OP UPL Data'!B:B,0)))),0)</f>
        <v>37553.941265822796</v>
      </c>
      <c r="N117" s="45">
        <f t="shared" si="36"/>
        <v>93742.845443037979</v>
      </c>
      <c r="O117" s="45">
        <v>71600.927125606395</v>
      </c>
      <c r="P117" s="45">
        <v>110929.50693819919</v>
      </c>
      <c r="Q117" s="45">
        <f t="shared" si="37"/>
        <v>182530.43406380559</v>
      </c>
      <c r="R117" s="45" t="str">
        <f t="shared" si="38"/>
        <v>Yes</v>
      </c>
      <c r="S117" s="46" t="str">
        <f t="shared" si="38"/>
        <v>Yes</v>
      </c>
      <c r="T117" s="47">
        <f>ROUND(INDEX(Summary!H:H,MATCH(H:H,Summary!A:A,0)),2)</f>
        <v>0.75</v>
      </c>
      <c r="U117" s="47">
        <f>ROUND(INDEX(Summary!I:I,MATCH(H:H,Summary!A:A,0)),2)</f>
        <v>1.83</v>
      </c>
      <c r="V117" s="85">
        <f t="shared" si="39"/>
        <v>51007.860320739463</v>
      </c>
      <c r="W117" s="85">
        <f t="shared" si="39"/>
        <v>515834.90584685712</v>
      </c>
      <c r="X117" s="45">
        <f t="shared" si="40"/>
        <v>566842.76616759656</v>
      </c>
      <c r="Y117" s="45" t="s">
        <v>3223</v>
      </c>
      <c r="Z117" s="45" t="str">
        <f t="shared" si="41"/>
        <v>Yes</v>
      </c>
      <c r="AA117" s="45" t="str">
        <f t="shared" si="41"/>
        <v>No</v>
      </c>
      <c r="AB117" s="45" t="str">
        <f t="shared" si="42"/>
        <v>Yes</v>
      </c>
      <c r="AC117" s="86">
        <f t="shared" si="55"/>
        <v>0.21</v>
      </c>
      <c r="AD117" s="86">
        <f t="shared" si="56"/>
        <v>0</v>
      </c>
      <c r="AE117" s="45">
        <f t="shared" si="57"/>
        <v>14282.200889807047</v>
      </c>
      <c r="AF117" s="45">
        <f t="shared" si="57"/>
        <v>0</v>
      </c>
      <c r="AG117" s="45">
        <f t="shared" si="43"/>
        <v>14282.200889807047</v>
      </c>
      <c r="AH117" s="47">
        <f>IF(Y117="No",0,IFERROR(ROUNDDOWN(INDEX('90% of ACR'!K:K,MATCH(H:H,'90% of ACR'!A:A,0))*IF(I117&gt;0,IF(O117&gt;0,$R$4*MAX(O117-V117,0),0),0)/I117,2),0))</f>
        <v>0.21</v>
      </c>
      <c r="AI117" s="86">
        <f>IF(Y117="No",0,IFERROR(ROUNDDOWN(INDEX('90% of ACR'!R:R,MATCH(H:H,'90% of ACR'!A:A,0))*IF(J117&gt;0,IF(P117&gt;0,$R$4*MAX(P117-W117,0),0),0)/J117,2),0))</f>
        <v>0</v>
      </c>
      <c r="AJ117" s="45">
        <f t="shared" si="44"/>
        <v>14282.200889807047</v>
      </c>
      <c r="AK117" s="45">
        <f t="shared" si="44"/>
        <v>0</v>
      </c>
      <c r="AL117" s="47">
        <f t="shared" si="45"/>
        <v>0.96</v>
      </c>
      <c r="AM117" s="47">
        <f t="shared" si="45"/>
        <v>1.83</v>
      </c>
      <c r="AN117" s="87">
        <f>IFERROR(INDEX(FeeCalc!P:P,MATCH(C117,FeeCalc!F:F,0)),0)</f>
        <v>581124.96705740364</v>
      </c>
      <c r="AO117" s="87">
        <f>IFERROR(INDEX(FeeCalc!S:S,MATCH(C117,FeeCalc!F:F,0)),0)</f>
        <v>36516.366941561289</v>
      </c>
      <c r="AP117" s="87">
        <f t="shared" si="46"/>
        <v>617641.33399896498</v>
      </c>
      <c r="AQ117" s="72">
        <f t="shared" si="47"/>
        <v>262084.98253844882</v>
      </c>
      <c r="AR117" s="72">
        <f t="shared" si="48"/>
        <v>131042.49126922441</v>
      </c>
      <c r="AS117" s="72">
        <f t="shared" si="49"/>
        <v>131042.49126922441</v>
      </c>
      <c r="AT117" s="72">
        <f>IFERROR(IFERROR(INDEX('2023 IP UPL Data'!L:L,MATCH(A:A,'2023 IP UPL Data'!B:B,0)),INDEX('2023 IMD UPL Data'!I:I,MATCH(A:A,'2023 IMD UPL Data'!B:B,0))),0)</f>
        <v>43071.295822784807</v>
      </c>
      <c r="AU117" s="72">
        <f>IFERROR(IF(F115="IMD",0,INDEX('2023 OP UPL Data'!J:J,MATCH(A:A,'2023 OP UPL Data'!B:B,0))),0)</f>
        <v>122851.9587341772</v>
      </c>
      <c r="AV117" s="45">
        <f t="shared" si="50"/>
        <v>165923.254556962</v>
      </c>
      <c r="AW117" s="72">
        <f>IFERROR(IFERROR(INDEX('2023 IP UPL Data'!M:M,MATCH(A:A,'2023 IP UPL Data'!B:B,0)),INDEX('2023 IMD UPL Data'!K:K,MATCH(A:A,'2023 IMD UPL Data'!B:B,0))),0)</f>
        <v>99260.2</v>
      </c>
      <c r="AX117" s="72">
        <f>IFERROR(IF(F115="IMD",0,INDEX('2023 OP UPL Data'!L:L,MATCH(A:A,'2023 OP UPL Data'!B:B,0))),0)</f>
        <v>160405.9</v>
      </c>
      <c r="AY117" s="45">
        <f t="shared" si="51"/>
        <v>259666.09999999998</v>
      </c>
      <c r="AZ117" s="72">
        <v>114672.22294839121</v>
      </c>
      <c r="BA117" s="72">
        <v>233781.46567237639</v>
      </c>
      <c r="BB117" s="72">
        <f t="shared" si="52"/>
        <v>63664.362627651746</v>
      </c>
      <c r="BC117" s="72">
        <f t="shared" si="52"/>
        <v>0</v>
      </c>
      <c r="BD117" s="72">
        <f t="shared" si="53"/>
        <v>0</v>
      </c>
      <c r="BE117" s="94">
        <f t="shared" si="54"/>
        <v>15412.022948391212</v>
      </c>
      <c r="BF117" s="94">
        <f t="shared" si="54"/>
        <v>73375.565672376397</v>
      </c>
      <c r="BG117" s="73">
        <f>IFERROR(INDEX('2023 IP UPL Data'!K:K,MATCH(A117,'2023 IP UPL Data'!B:B,0)),0)</f>
        <v>0</v>
      </c>
    </row>
    <row r="118" spans="1:59">
      <c r="A118" s="124" t="s">
        <v>37</v>
      </c>
      <c r="B118" s="149" t="s">
        <v>1551</v>
      </c>
      <c r="C118" s="31" t="s">
        <v>38</v>
      </c>
      <c r="D118" s="181" t="s">
        <v>38</v>
      </c>
      <c r="E118" s="144" t="s">
        <v>3487</v>
      </c>
      <c r="F118" s="120" t="s">
        <v>2718</v>
      </c>
      <c r="G118" s="120" t="s">
        <v>223</v>
      </c>
      <c r="H118" s="43" t="str">
        <f t="shared" si="34"/>
        <v>Urban Dallas</v>
      </c>
      <c r="I118" s="45">
        <f>INDEX(FeeCalc!M:M,MATCH(C:C,FeeCalc!F:F,0))</f>
        <v>354346.5395451549</v>
      </c>
      <c r="J118" s="45">
        <f>INDEX(FeeCalc!L:L,MATCH(C:C,FeeCalc!F:F,0))</f>
        <v>300554.55611186271</v>
      </c>
      <c r="K118" s="45">
        <f t="shared" si="35"/>
        <v>654901.09565701755</v>
      </c>
      <c r="L118" s="45">
        <f>IFERROR(IFERROR(INDEX('2023 IP UPL Data'!N:N,MATCH(A:A,'2023 IP UPL Data'!B:B,0)),INDEX('2023 IMD UPL Data'!M:M,MATCH(A:A,'2023 IMD UPL Data'!B:B,0))),0)</f>
        <v>335458.74445783126</v>
      </c>
      <c r="M118" s="45">
        <f>IFERROR((IF(F118="IMD",0,INDEX('2023 OP UPL Data'!M:M,MATCH(A:A,'2023 OP UPL Data'!B:B,0)))),0)</f>
        <v>552233.52903614461</v>
      </c>
      <c r="N118" s="45">
        <f t="shared" si="36"/>
        <v>887692.27349397587</v>
      </c>
      <c r="O118" s="45">
        <v>1024564.6754521953</v>
      </c>
      <c r="P118" s="45">
        <v>993110.74330655241</v>
      </c>
      <c r="Q118" s="45">
        <f t="shared" si="37"/>
        <v>2017675.4187587476</v>
      </c>
      <c r="R118" s="45" t="str">
        <f t="shared" si="38"/>
        <v>Yes</v>
      </c>
      <c r="S118" s="46" t="str">
        <f t="shared" si="38"/>
        <v>Yes</v>
      </c>
      <c r="T118" s="47">
        <f>ROUND(INDEX(Summary!H:H,MATCH(H:H,Summary!A:A,0)),2)</f>
        <v>1.2</v>
      </c>
      <c r="U118" s="47">
        <f>ROUND(INDEX(Summary!I:I,MATCH(H:H,Summary!A:A,0)),2)</f>
        <v>1.08</v>
      </c>
      <c r="V118" s="85">
        <f t="shared" si="39"/>
        <v>425215.84745418589</v>
      </c>
      <c r="W118" s="85">
        <f t="shared" si="39"/>
        <v>324598.92060081172</v>
      </c>
      <c r="X118" s="45">
        <f t="shared" si="40"/>
        <v>749814.76805499755</v>
      </c>
      <c r="Y118" s="45" t="s">
        <v>3223</v>
      </c>
      <c r="Z118" s="45" t="str">
        <f t="shared" si="41"/>
        <v>Yes</v>
      </c>
      <c r="AA118" s="45" t="str">
        <f t="shared" si="41"/>
        <v>Yes</v>
      </c>
      <c r="AB118" s="45" t="str">
        <f t="shared" si="42"/>
        <v>Yes</v>
      </c>
      <c r="AC118" s="86">
        <f t="shared" si="55"/>
        <v>1.18</v>
      </c>
      <c r="AD118" s="86">
        <f t="shared" si="56"/>
        <v>1.55</v>
      </c>
      <c r="AE118" s="45">
        <f t="shared" si="57"/>
        <v>418128.91666328278</v>
      </c>
      <c r="AF118" s="45">
        <f t="shared" si="57"/>
        <v>465859.5619733872</v>
      </c>
      <c r="AG118" s="45">
        <f t="shared" si="43"/>
        <v>883988.47863666993</v>
      </c>
      <c r="AH118" s="47">
        <f>IF(Y118="No",0,IFERROR(ROUNDDOWN(INDEX('90% of ACR'!K:K,MATCH(H:H,'90% of ACR'!A:A,0))*IF(I118&gt;0,IF(O118&gt;0,$R$4*MAX(O118-V118,0),0),0)/I118,2),0))</f>
        <v>1.1299999999999999</v>
      </c>
      <c r="AI118" s="86">
        <f>IF(Y118="No",0,IFERROR(ROUNDDOWN(INDEX('90% of ACR'!R:R,MATCH(H:H,'90% of ACR'!A:A,0))*IF(J118&gt;0,IF(P118&gt;0,$R$4*MAX(P118-W118,0),0),0)/J118,2),0))</f>
        <v>1.54</v>
      </c>
      <c r="AJ118" s="45">
        <f t="shared" si="44"/>
        <v>400411.58968602499</v>
      </c>
      <c r="AK118" s="45">
        <f t="shared" si="44"/>
        <v>462854.01641226857</v>
      </c>
      <c r="AL118" s="47">
        <f t="shared" si="45"/>
        <v>2.33</v>
      </c>
      <c r="AM118" s="47">
        <f t="shared" si="45"/>
        <v>2.62</v>
      </c>
      <c r="AN118" s="87">
        <f>IFERROR(INDEX(FeeCalc!P:P,MATCH(C118,FeeCalc!F:F,0)),0)</f>
        <v>1613080.3741532913</v>
      </c>
      <c r="AO118" s="87">
        <f>IFERROR(INDEX(FeeCalc!S:S,MATCH(C118,FeeCalc!F:F,0)),0)</f>
        <v>100345.19408159047</v>
      </c>
      <c r="AP118" s="87">
        <f t="shared" si="46"/>
        <v>1713425.5682348819</v>
      </c>
      <c r="AQ118" s="72">
        <f t="shared" si="47"/>
        <v>727061.29822024389</v>
      </c>
      <c r="AR118" s="72">
        <f t="shared" si="48"/>
        <v>363530.64911012194</v>
      </c>
      <c r="AS118" s="72">
        <f t="shared" si="49"/>
        <v>363530.64911012194</v>
      </c>
      <c r="AT118" s="72">
        <f>IFERROR(IFERROR(INDEX('2023 IP UPL Data'!L:L,MATCH(A:A,'2023 IP UPL Data'!B:B,0)),INDEX('2023 IMD UPL Data'!I:I,MATCH(A:A,'2023 IMD UPL Data'!B:B,0))),0)</f>
        <v>478234.38554216875</v>
      </c>
      <c r="AU118" s="72">
        <f>IFERROR(IF(F116="IMD",0,INDEX('2023 OP UPL Data'!J:J,MATCH(A:A,'2023 OP UPL Data'!B:B,0))),0)</f>
        <v>168362.24096385541</v>
      </c>
      <c r="AV118" s="45">
        <f t="shared" si="50"/>
        <v>646596.62650602416</v>
      </c>
      <c r="AW118" s="72">
        <f>IFERROR(IFERROR(INDEX('2023 IP UPL Data'!M:M,MATCH(A:A,'2023 IP UPL Data'!B:B,0)),INDEX('2023 IMD UPL Data'!K:K,MATCH(A:A,'2023 IMD UPL Data'!B:B,0))),0)</f>
        <v>813693.13</v>
      </c>
      <c r="AX118" s="72">
        <f>IFERROR(IF(F116="IMD",0,INDEX('2023 OP UPL Data'!L:L,MATCH(A:A,'2023 OP UPL Data'!B:B,0))),0)</f>
        <v>720595.77</v>
      </c>
      <c r="AY118" s="45">
        <f t="shared" si="51"/>
        <v>1534288.9</v>
      </c>
      <c r="AZ118" s="72">
        <v>1502799.0609943641</v>
      </c>
      <c r="BA118" s="72">
        <v>1161472.9842704078</v>
      </c>
      <c r="BB118" s="72">
        <f t="shared" si="52"/>
        <v>1077583.2135401783</v>
      </c>
      <c r="BC118" s="72">
        <f t="shared" si="52"/>
        <v>836874.0636695961</v>
      </c>
      <c r="BD118" s="72">
        <f t="shared" si="53"/>
        <v>1914457.2772097746</v>
      </c>
      <c r="BE118" s="94">
        <f t="shared" si="54"/>
        <v>689105.93099436408</v>
      </c>
      <c r="BF118" s="94">
        <f t="shared" si="54"/>
        <v>440877.2142704078</v>
      </c>
      <c r="BG118" s="73">
        <f>IFERROR(INDEX('2023 IP UPL Data'!K:K,MATCH(A118,'2023 IP UPL Data'!B:B,0)),0)</f>
        <v>0</v>
      </c>
    </row>
    <row r="119" spans="1:59">
      <c r="A119" s="124" t="s">
        <v>1001</v>
      </c>
      <c r="B119" s="149" t="s">
        <v>1001</v>
      </c>
      <c r="C119" s="31" t="s">
        <v>1002</v>
      </c>
      <c r="D119" s="181" t="s">
        <v>1002</v>
      </c>
      <c r="E119" s="144" t="s">
        <v>3488</v>
      </c>
      <c r="F119" s="120" t="s">
        <v>2718</v>
      </c>
      <c r="G119" s="120" t="s">
        <v>1489</v>
      </c>
      <c r="H119" s="43" t="str">
        <f t="shared" si="34"/>
        <v>Urban MRSA Central</v>
      </c>
      <c r="I119" s="45">
        <f>INDEX(FeeCalc!M:M,MATCH(C:C,FeeCalc!F:F,0))</f>
        <v>3954330.6307362691</v>
      </c>
      <c r="J119" s="45">
        <f>INDEX(FeeCalc!L:L,MATCH(C:C,FeeCalc!F:F,0))</f>
        <v>5630388.9022330567</v>
      </c>
      <c r="K119" s="45">
        <f t="shared" si="35"/>
        <v>9584719.5329693258</v>
      </c>
      <c r="L119" s="45">
        <f>IFERROR(IFERROR(INDEX('2023 IP UPL Data'!N:N,MATCH(A:A,'2023 IP UPL Data'!B:B,0)),INDEX('2023 IMD UPL Data'!M:M,MATCH(A:A,'2023 IMD UPL Data'!B:B,0))),0)</f>
        <v>3055362.1072189352</v>
      </c>
      <c r="M119" s="45">
        <f>IFERROR((IF(F119="IMD",0,INDEX('2023 OP UPL Data'!M:M,MATCH(A:A,'2023 OP UPL Data'!B:B,0)))),0)</f>
        <v>5108502.5102958586</v>
      </c>
      <c r="N119" s="45">
        <f t="shared" si="36"/>
        <v>8163864.6175147938</v>
      </c>
      <c r="O119" s="45">
        <v>9165483.181717813</v>
      </c>
      <c r="P119" s="45">
        <v>5149796.9739869963</v>
      </c>
      <c r="Q119" s="45">
        <f t="shared" si="37"/>
        <v>14315280.155704809</v>
      </c>
      <c r="R119" s="45" t="str">
        <f t="shared" si="38"/>
        <v>Yes</v>
      </c>
      <c r="S119" s="46" t="str">
        <f t="shared" si="38"/>
        <v>Yes</v>
      </c>
      <c r="T119" s="47">
        <f>ROUND(INDEX(Summary!H:H,MATCH(H:H,Summary!A:A,0)),2)</f>
        <v>0.78</v>
      </c>
      <c r="U119" s="47">
        <f>ROUND(INDEX(Summary!I:I,MATCH(H:H,Summary!A:A,0)),2)</f>
        <v>1.29</v>
      </c>
      <c r="V119" s="85">
        <f t="shared" si="39"/>
        <v>3084377.8919742899</v>
      </c>
      <c r="W119" s="85">
        <f t="shared" si="39"/>
        <v>7263201.683880643</v>
      </c>
      <c r="X119" s="45">
        <f t="shared" si="40"/>
        <v>10347579.575854933</v>
      </c>
      <c r="Y119" s="45" t="s">
        <v>3223</v>
      </c>
      <c r="Z119" s="45" t="str">
        <f t="shared" si="41"/>
        <v>Yes</v>
      </c>
      <c r="AA119" s="45" t="str">
        <f t="shared" si="41"/>
        <v>No</v>
      </c>
      <c r="AB119" s="45" t="str">
        <f t="shared" si="42"/>
        <v>Yes</v>
      </c>
      <c r="AC119" s="86">
        <f t="shared" si="55"/>
        <v>1.07</v>
      </c>
      <c r="AD119" s="86">
        <f t="shared" si="56"/>
        <v>0</v>
      </c>
      <c r="AE119" s="45">
        <f t="shared" si="57"/>
        <v>4231133.7748878086</v>
      </c>
      <c r="AF119" s="45">
        <f t="shared" si="57"/>
        <v>0</v>
      </c>
      <c r="AG119" s="45">
        <f t="shared" si="43"/>
        <v>4231133.7748878086</v>
      </c>
      <c r="AH119" s="47">
        <f>IF(Y119="No",0,IFERROR(ROUNDDOWN(INDEX('90% of ACR'!K:K,MATCH(H:H,'90% of ACR'!A:A,0))*IF(I119&gt;0,IF(O119&gt;0,$R$4*MAX(O119-V119,0),0),0)/I119,2),0))</f>
        <v>1.06</v>
      </c>
      <c r="AI119" s="86">
        <f>IF(Y119="No",0,IFERROR(ROUNDDOWN(INDEX('90% of ACR'!R:R,MATCH(H:H,'90% of ACR'!A:A,0))*IF(J119&gt;0,IF(P119&gt;0,$R$4*MAX(P119-W119,0),0),0)/J119,2),0))</f>
        <v>0</v>
      </c>
      <c r="AJ119" s="45">
        <f t="shared" si="44"/>
        <v>4191590.4685804453</v>
      </c>
      <c r="AK119" s="45">
        <f t="shared" si="44"/>
        <v>0</v>
      </c>
      <c r="AL119" s="47">
        <f t="shared" si="45"/>
        <v>1.84</v>
      </c>
      <c r="AM119" s="47">
        <f t="shared" si="45"/>
        <v>1.29</v>
      </c>
      <c r="AN119" s="87">
        <f>IFERROR(INDEX(FeeCalc!P:P,MATCH(C119,FeeCalc!F:F,0)),0)</f>
        <v>14539170.044435378</v>
      </c>
      <c r="AO119" s="87">
        <f>IFERROR(INDEX(FeeCalc!S:S,MATCH(C119,FeeCalc!F:F,0)),0)</f>
        <v>896138.2508929742</v>
      </c>
      <c r="AP119" s="87">
        <f t="shared" si="46"/>
        <v>15435308.295328353</v>
      </c>
      <c r="AQ119" s="72">
        <f t="shared" si="47"/>
        <v>6549695.2395732719</v>
      </c>
      <c r="AR119" s="72">
        <f t="shared" si="48"/>
        <v>3274847.619786636</v>
      </c>
      <c r="AS119" s="72">
        <f t="shared" si="49"/>
        <v>3274847.619786636</v>
      </c>
      <c r="AT119" s="72">
        <f>IFERROR(IFERROR(INDEX('2023 IP UPL Data'!L:L,MATCH(A:A,'2023 IP UPL Data'!B:B,0)),INDEX('2023 IMD UPL Data'!I:I,MATCH(A:A,'2023 IMD UPL Data'!B:B,0))),0)</f>
        <v>3964695.3727810653</v>
      </c>
      <c r="AU119" s="72">
        <f>IFERROR(IF(F117="IMD",0,INDEX('2023 OP UPL Data'!J:J,MATCH(A:A,'2023 OP UPL Data'!B:B,0))),0)</f>
        <v>3302645.4497041423</v>
      </c>
      <c r="AV119" s="45">
        <f t="shared" si="50"/>
        <v>7267340.8224852076</v>
      </c>
      <c r="AW119" s="72">
        <f>IFERROR(IFERROR(INDEX('2023 IP UPL Data'!M:M,MATCH(A:A,'2023 IP UPL Data'!B:B,0)),INDEX('2023 IMD UPL Data'!K:K,MATCH(A:A,'2023 IMD UPL Data'!B:B,0))),0)</f>
        <v>7020057.4800000004</v>
      </c>
      <c r="AX119" s="72">
        <f>IFERROR(IF(F117="IMD",0,INDEX('2023 OP UPL Data'!L:L,MATCH(A:A,'2023 OP UPL Data'!B:B,0))),0)</f>
        <v>8411147.9600000009</v>
      </c>
      <c r="AY119" s="45">
        <f t="shared" si="51"/>
        <v>15431205.440000001</v>
      </c>
      <c r="AZ119" s="72">
        <v>13130178.554498879</v>
      </c>
      <c r="BA119" s="72">
        <v>8452442.4236911386</v>
      </c>
      <c r="BB119" s="72">
        <f t="shared" si="52"/>
        <v>10045800.662524588</v>
      </c>
      <c r="BC119" s="72">
        <f t="shared" si="52"/>
        <v>1189240.7398104956</v>
      </c>
      <c r="BD119" s="72">
        <f t="shared" si="53"/>
        <v>11235041.402335087</v>
      </c>
      <c r="BE119" s="94">
        <f t="shared" si="54"/>
        <v>6110121.0744988788</v>
      </c>
      <c r="BF119" s="94">
        <f t="shared" si="54"/>
        <v>41294.463691137731</v>
      </c>
      <c r="BG119" s="73">
        <f>IFERROR(INDEX('2023 IP UPL Data'!K:K,MATCH(A119,'2023 IP UPL Data'!B:B,0)),0)</f>
        <v>0</v>
      </c>
    </row>
    <row r="120" spans="1:59">
      <c r="A120" s="124" t="s">
        <v>783</v>
      </c>
      <c r="B120" s="149" t="s">
        <v>783</v>
      </c>
      <c r="C120" s="31" t="s">
        <v>784</v>
      </c>
      <c r="D120" s="181" t="s">
        <v>784</v>
      </c>
      <c r="E120" s="144" t="s">
        <v>3089</v>
      </c>
      <c r="F120" s="120" t="s">
        <v>2718</v>
      </c>
      <c r="G120" s="120" t="s">
        <v>223</v>
      </c>
      <c r="H120" s="43" t="str">
        <f t="shared" si="34"/>
        <v>Urban Dallas</v>
      </c>
      <c r="I120" s="45">
        <f>INDEX(FeeCalc!M:M,MATCH(C:C,FeeCalc!F:F,0))</f>
        <v>4037323.3600275042</v>
      </c>
      <c r="J120" s="45">
        <f>INDEX(FeeCalc!L:L,MATCH(C:C,FeeCalc!F:F,0))</f>
        <v>1977772.92027885</v>
      </c>
      <c r="K120" s="45">
        <f t="shared" si="35"/>
        <v>6015096.2803063542</v>
      </c>
      <c r="L120" s="45">
        <f>IFERROR(IFERROR(INDEX('2023 IP UPL Data'!N:N,MATCH(A:A,'2023 IP UPL Data'!B:B,0)),INDEX('2023 IMD UPL Data'!M:M,MATCH(A:A,'2023 IMD UPL Data'!B:B,0))),0)</f>
        <v>2064977.2344578318</v>
      </c>
      <c r="M120" s="45">
        <f>IFERROR((IF(F120="IMD",0,INDEX('2023 OP UPL Data'!M:M,MATCH(A:A,'2023 OP UPL Data'!B:B,0)))),0)</f>
        <v>4058081.0234939763</v>
      </c>
      <c r="N120" s="45">
        <f t="shared" si="36"/>
        <v>6123058.2579518082</v>
      </c>
      <c r="O120" s="45">
        <v>7474154.0230269777</v>
      </c>
      <c r="P120" s="45">
        <v>7488660.6489133416</v>
      </c>
      <c r="Q120" s="45">
        <f t="shared" si="37"/>
        <v>14962814.671940319</v>
      </c>
      <c r="R120" s="45" t="str">
        <f t="shared" si="38"/>
        <v>Yes</v>
      </c>
      <c r="S120" s="46" t="str">
        <f t="shared" si="38"/>
        <v>Yes</v>
      </c>
      <c r="T120" s="47">
        <f>ROUND(INDEX(Summary!H:H,MATCH(H:H,Summary!A:A,0)),2)</f>
        <v>1.2</v>
      </c>
      <c r="U120" s="47">
        <f>ROUND(INDEX(Summary!I:I,MATCH(H:H,Summary!A:A,0)),2)</f>
        <v>1.08</v>
      </c>
      <c r="V120" s="85">
        <f t="shared" si="39"/>
        <v>4844788.0320330048</v>
      </c>
      <c r="W120" s="85">
        <f t="shared" si="39"/>
        <v>2135994.753901158</v>
      </c>
      <c r="X120" s="45">
        <f t="shared" si="40"/>
        <v>6980782.7859341633</v>
      </c>
      <c r="Y120" s="45" t="s">
        <v>3223</v>
      </c>
      <c r="Z120" s="45" t="str">
        <f t="shared" si="41"/>
        <v>Yes</v>
      </c>
      <c r="AA120" s="45" t="str">
        <f t="shared" si="41"/>
        <v>Yes</v>
      </c>
      <c r="AB120" s="45" t="str">
        <f t="shared" si="42"/>
        <v>Yes</v>
      </c>
      <c r="AC120" s="86">
        <f t="shared" si="55"/>
        <v>0.45</v>
      </c>
      <c r="AD120" s="86">
        <f t="shared" si="56"/>
        <v>1.89</v>
      </c>
      <c r="AE120" s="45">
        <f t="shared" si="57"/>
        <v>1816795.5120123769</v>
      </c>
      <c r="AF120" s="45">
        <f t="shared" si="57"/>
        <v>3737990.8193270261</v>
      </c>
      <c r="AG120" s="45">
        <f t="shared" si="43"/>
        <v>5554786.3313394031</v>
      </c>
      <c r="AH120" s="47">
        <f>IF(Y120="No",0,IFERROR(ROUNDDOWN(INDEX('90% of ACR'!K:K,MATCH(H:H,'90% of ACR'!A:A,0))*IF(I120&gt;0,IF(O120&gt;0,$R$4*MAX(O120-V120,0),0),0)/I120,2),0))</f>
        <v>0.43</v>
      </c>
      <c r="AI120" s="86">
        <f>IF(Y120="No",0,IFERROR(ROUNDDOWN(INDEX('90% of ACR'!R:R,MATCH(H:H,'90% of ACR'!A:A,0))*IF(J120&gt;0,IF(P120&gt;0,$R$4*MAX(P120-W120,0),0),0)/J120,2),0))</f>
        <v>1.88</v>
      </c>
      <c r="AJ120" s="45">
        <f t="shared" si="44"/>
        <v>1736049.0448118267</v>
      </c>
      <c r="AK120" s="45">
        <f t="shared" si="44"/>
        <v>3718213.0901242378</v>
      </c>
      <c r="AL120" s="47">
        <f t="shared" si="45"/>
        <v>1.63</v>
      </c>
      <c r="AM120" s="47">
        <f t="shared" si="45"/>
        <v>2.96</v>
      </c>
      <c r="AN120" s="87">
        <f>IFERROR(INDEX(FeeCalc!P:P,MATCH(C120,FeeCalc!F:F,0)),0)</f>
        <v>12435044.920870226</v>
      </c>
      <c r="AO120" s="87">
        <f>IFERROR(INDEX(FeeCalc!S:S,MATCH(C120,FeeCalc!F:F,0)),0)</f>
        <v>769312.47890043189</v>
      </c>
      <c r="AP120" s="87">
        <f t="shared" si="46"/>
        <v>13204357.399770658</v>
      </c>
      <c r="AQ120" s="72">
        <f t="shared" si="47"/>
        <v>5603031.3841594839</v>
      </c>
      <c r="AR120" s="72">
        <f t="shared" si="48"/>
        <v>2801515.692079742</v>
      </c>
      <c r="AS120" s="72">
        <f t="shared" si="49"/>
        <v>2801515.692079742</v>
      </c>
      <c r="AT120" s="72">
        <f>IFERROR(IFERROR(INDEX('2023 IP UPL Data'!L:L,MATCH(A:A,'2023 IP UPL Data'!B:B,0)),INDEX('2023 IMD UPL Data'!I:I,MATCH(A:A,'2023 IMD UPL Data'!B:B,0))),0)</f>
        <v>3302369.8855421683</v>
      </c>
      <c r="AU120" s="72">
        <f>IFERROR(IF(F118="IMD",0,INDEX('2023 OP UPL Data'!J:J,MATCH(A:A,'2023 OP UPL Data'!B:B,0))),0)</f>
        <v>830518.62650602404</v>
      </c>
      <c r="AV120" s="45">
        <f t="shared" si="50"/>
        <v>4132888.5120481923</v>
      </c>
      <c r="AW120" s="72">
        <f>IFERROR(IFERROR(INDEX('2023 IP UPL Data'!M:M,MATCH(A:A,'2023 IP UPL Data'!B:B,0)),INDEX('2023 IMD UPL Data'!K:K,MATCH(A:A,'2023 IMD UPL Data'!B:B,0))),0)</f>
        <v>5367347.12</v>
      </c>
      <c r="AX120" s="72">
        <f>IFERROR(IF(F118="IMD",0,INDEX('2023 OP UPL Data'!L:L,MATCH(A:A,'2023 OP UPL Data'!B:B,0))),0)</f>
        <v>4888599.6500000004</v>
      </c>
      <c r="AY120" s="45">
        <f t="shared" si="51"/>
        <v>10255946.77</v>
      </c>
      <c r="AZ120" s="72">
        <v>10776523.908569146</v>
      </c>
      <c r="BA120" s="72">
        <v>8319179.2754193656</v>
      </c>
      <c r="BB120" s="72">
        <f t="shared" si="52"/>
        <v>5931735.8765361411</v>
      </c>
      <c r="BC120" s="72">
        <f t="shared" si="52"/>
        <v>6183184.5215182081</v>
      </c>
      <c r="BD120" s="72">
        <f t="shared" si="53"/>
        <v>12114920.398054348</v>
      </c>
      <c r="BE120" s="94">
        <f t="shared" si="54"/>
        <v>5409176.7885691458</v>
      </c>
      <c r="BF120" s="94">
        <f t="shared" si="54"/>
        <v>3430579.6254193652</v>
      </c>
      <c r="BG120" s="73">
        <f>IFERROR(INDEX('2023 IP UPL Data'!K:K,MATCH(A120,'2023 IP UPL Data'!B:B,0)),0)</f>
        <v>0</v>
      </c>
    </row>
    <row r="121" spans="1:59">
      <c r="A121" s="124" t="s">
        <v>374</v>
      </c>
      <c r="B121" s="149" t="s">
        <v>374</v>
      </c>
      <c r="C121" s="31" t="s">
        <v>375</v>
      </c>
      <c r="D121" s="181" t="s">
        <v>375</v>
      </c>
      <c r="E121" s="144" t="s">
        <v>3345</v>
      </c>
      <c r="F121" s="120" t="s">
        <v>2768</v>
      </c>
      <c r="G121" s="120" t="s">
        <v>1202</v>
      </c>
      <c r="H121" s="43" t="str">
        <f t="shared" si="34"/>
        <v>Rural Travis</v>
      </c>
      <c r="I121" s="45">
        <f>INDEX(FeeCalc!M:M,MATCH(C:C,FeeCalc!F:F,0))</f>
        <v>2353277.5747554535</v>
      </c>
      <c r="J121" s="45">
        <f>INDEX(FeeCalc!L:L,MATCH(C:C,FeeCalc!F:F,0))</f>
        <v>3081134.0009814277</v>
      </c>
      <c r="K121" s="45">
        <f t="shared" si="35"/>
        <v>5434411.5757368812</v>
      </c>
      <c r="L121" s="45">
        <f>IFERROR(IFERROR(INDEX('2023 IP UPL Data'!N:N,MATCH(A:A,'2023 IP UPL Data'!B:B,0)),INDEX('2023 IMD UPL Data'!M:M,MATCH(A:A,'2023 IMD UPL Data'!B:B,0))),0)</f>
        <v>-728107.84002114879</v>
      </c>
      <c r="M121" s="45">
        <f>IFERROR((IF(F121="IMD",0,INDEX('2023 OP UPL Data'!M:M,MATCH(A:A,'2023 OP UPL Data'!B:B,0)))),0)</f>
        <v>1599218.8207594939</v>
      </c>
      <c r="N121" s="45">
        <f t="shared" si="36"/>
        <v>871110.98073834507</v>
      </c>
      <c r="O121" s="45">
        <v>311332.70415260317</v>
      </c>
      <c r="P121" s="45">
        <v>2073488.307934836</v>
      </c>
      <c r="Q121" s="45">
        <f t="shared" si="37"/>
        <v>2384821.0120874392</v>
      </c>
      <c r="R121" s="45" t="str">
        <f t="shared" si="38"/>
        <v>Yes</v>
      </c>
      <c r="S121" s="46" t="str">
        <f t="shared" si="38"/>
        <v>Yes</v>
      </c>
      <c r="T121" s="47">
        <f>ROUND(INDEX(Summary!H:H,MATCH(H:H,Summary!A:A,0)),2)</f>
        <v>0</v>
      </c>
      <c r="U121" s="47">
        <f>ROUND(INDEX(Summary!I:I,MATCH(H:H,Summary!A:A,0)),2)</f>
        <v>0.17</v>
      </c>
      <c r="V121" s="85">
        <f t="shared" si="39"/>
        <v>0</v>
      </c>
      <c r="W121" s="85">
        <f t="shared" si="39"/>
        <v>523792.78016684274</v>
      </c>
      <c r="X121" s="45">
        <f t="shared" si="40"/>
        <v>523792.78016684274</v>
      </c>
      <c r="Y121" s="45" t="s">
        <v>3223</v>
      </c>
      <c r="Z121" s="45" t="str">
        <f t="shared" si="41"/>
        <v>Yes</v>
      </c>
      <c r="AA121" s="45" t="str">
        <f t="shared" si="41"/>
        <v>Yes</v>
      </c>
      <c r="AB121" s="45" t="str">
        <f t="shared" si="42"/>
        <v>Yes</v>
      </c>
      <c r="AC121" s="86">
        <f t="shared" si="55"/>
        <v>0.09</v>
      </c>
      <c r="AD121" s="86">
        <f t="shared" si="56"/>
        <v>0.35</v>
      </c>
      <c r="AE121" s="45">
        <f t="shared" si="57"/>
        <v>211794.98172799082</v>
      </c>
      <c r="AF121" s="45">
        <f t="shared" si="57"/>
        <v>1078396.9003434996</v>
      </c>
      <c r="AG121" s="45">
        <f t="shared" si="43"/>
        <v>1290191.8820714904</v>
      </c>
      <c r="AH121" s="47">
        <f>IF(Y121="No",0,IFERROR(ROUNDDOWN(INDEX('90% of ACR'!K:K,MATCH(H:H,'90% of ACR'!A:A,0))*IF(I121&gt;0,IF(O121&gt;0,$R$4*MAX(O121-V121,0),0),0)/I121,2),0))</f>
        <v>0.09</v>
      </c>
      <c r="AI121" s="86">
        <f>IF(Y121="No",0,IFERROR(ROUNDDOWN(INDEX('90% of ACR'!R:R,MATCH(H:H,'90% of ACR'!A:A,0))*IF(J121&gt;0,IF(P121&gt;0,$R$4*MAX(P121-W121,0),0),0)/J121,2),0))</f>
        <v>0.35</v>
      </c>
      <c r="AJ121" s="45">
        <f t="shared" si="44"/>
        <v>211794.98172799082</v>
      </c>
      <c r="AK121" s="45">
        <f t="shared" si="44"/>
        <v>1078396.9003434996</v>
      </c>
      <c r="AL121" s="47">
        <f t="shared" si="45"/>
        <v>0.09</v>
      </c>
      <c r="AM121" s="47">
        <f t="shared" si="45"/>
        <v>0.52</v>
      </c>
      <c r="AN121" s="87">
        <f>IFERROR(INDEX(FeeCalc!P:P,MATCH(C121,FeeCalc!F:F,0)),0)</f>
        <v>1813984.6622383334</v>
      </c>
      <c r="AO121" s="87">
        <f>IFERROR(INDEX(FeeCalc!S:S,MATCH(C121,FeeCalc!F:F,0)),0)</f>
        <v>112307.60421220105</v>
      </c>
      <c r="AP121" s="87">
        <f t="shared" si="46"/>
        <v>1926292.2664505343</v>
      </c>
      <c r="AQ121" s="72">
        <f t="shared" si="47"/>
        <v>817387.45000748825</v>
      </c>
      <c r="AR121" s="72">
        <f t="shared" si="48"/>
        <v>408693.72500374413</v>
      </c>
      <c r="AS121" s="72">
        <f t="shared" si="49"/>
        <v>408693.72500374413</v>
      </c>
      <c r="AT121" s="72">
        <f>IFERROR(IFERROR(INDEX('2023 IP UPL Data'!L:L,MATCH(A:A,'2023 IP UPL Data'!B:B,0)),INDEX('2023 IMD UPL Data'!I:I,MATCH(A:A,'2023 IMD UPL Data'!B:B,0))),0)</f>
        <v>2474786.7400211487</v>
      </c>
      <c r="AU121" s="72">
        <f>IFERROR(IF(F119="IMD",0,INDEX('2023 OP UPL Data'!J:J,MATCH(A:A,'2023 OP UPL Data'!B:B,0))),0)</f>
        <v>1858097.7792405062</v>
      </c>
      <c r="AV121" s="45">
        <f t="shared" si="50"/>
        <v>4332884.5192616545</v>
      </c>
      <c r="AW121" s="72">
        <f>IFERROR(IFERROR(INDEX('2023 IP UPL Data'!M:M,MATCH(A:A,'2023 IP UPL Data'!B:B,0)),INDEX('2023 IMD UPL Data'!K:K,MATCH(A:A,'2023 IMD UPL Data'!B:B,0))),0)</f>
        <v>1746678.9</v>
      </c>
      <c r="AX121" s="72">
        <f>IFERROR(IF(F119="IMD",0,INDEX('2023 OP UPL Data'!L:L,MATCH(A:A,'2023 OP UPL Data'!B:B,0))),0)</f>
        <v>3457316.6</v>
      </c>
      <c r="AY121" s="45">
        <f t="shared" si="51"/>
        <v>5203995.5</v>
      </c>
      <c r="AZ121" s="72">
        <v>2786119.4441737519</v>
      </c>
      <c r="BA121" s="72">
        <v>3931586.0871753423</v>
      </c>
      <c r="BB121" s="72">
        <f t="shared" si="52"/>
        <v>2786119.4441737519</v>
      </c>
      <c r="BC121" s="72">
        <f t="shared" si="52"/>
        <v>3407793.3070084993</v>
      </c>
      <c r="BD121" s="72">
        <f t="shared" si="53"/>
        <v>6193912.7511822516</v>
      </c>
      <c r="BE121" s="94">
        <f t="shared" si="54"/>
        <v>1039440.544173752</v>
      </c>
      <c r="BF121" s="94">
        <f t="shared" si="54"/>
        <v>474269.48717534216</v>
      </c>
      <c r="BG121" s="73">
        <f>IFERROR(INDEX('2023 IP UPL Data'!K:K,MATCH(A121,'2023 IP UPL Data'!B:B,0)),0)</f>
        <v>0</v>
      </c>
    </row>
    <row r="122" spans="1:59">
      <c r="A122" s="124" t="s">
        <v>1004</v>
      </c>
      <c r="B122" s="149" t="s">
        <v>1004</v>
      </c>
      <c r="C122" s="31" t="s">
        <v>1005</v>
      </c>
      <c r="D122" s="181" t="s">
        <v>1005</v>
      </c>
      <c r="E122" s="144" t="s">
        <v>3489</v>
      </c>
      <c r="F122" s="120" t="s">
        <v>2718</v>
      </c>
      <c r="G122" s="120" t="s">
        <v>1202</v>
      </c>
      <c r="H122" s="43" t="str">
        <f t="shared" si="34"/>
        <v>Urban Travis</v>
      </c>
      <c r="I122" s="45">
        <f>INDEX(FeeCalc!M:M,MATCH(C:C,FeeCalc!F:F,0))</f>
        <v>1065013.8604844923</v>
      </c>
      <c r="J122" s="45">
        <f>INDEX(FeeCalc!L:L,MATCH(C:C,FeeCalc!F:F,0))</f>
        <v>2657301.1556595564</v>
      </c>
      <c r="K122" s="45">
        <f t="shared" si="35"/>
        <v>3722315.0161440484</v>
      </c>
      <c r="L122" s="45">
        <f>IFERROR(IFERROR(INDEX('2023 IP UPL Data'!N:N,MATCH(A:A,'2023 IP UPL Data'!B:B,0)),INDEX('2023 IMD UPL Data'!M:M,MATCH(A:A,'2023 IMD UPL Data'!B:B,0))),0)</f>
        <v>1454174.4902531644</v>
      </c>
      <c r="M122" s="45">
        <f>IFERROR((IF(F122="IMD",0,INDEX('2023 OP UPL Data'!M:M,MATCH(A:A,'2023 OP UPL Data'!B:B,0)))),0)</f>
        <v>3103512.0768354433</v>
      </c>
      <c r="N122" s="45">
        <f t="shared" si="36"/>
        <v>4557686.5670886077</v>
      </c>
      <c r="O122" s="45">
        <v>4892092.9992043935</v>
      </c>
      <c r="P122" s="45">
        <v>3982187.8048507301</v>
      </c>
      <c r="Q122" s="45">
        <f t="shared" si="37"/>
        <v>8874280.8040551245</v>
      </c>
      <c r="R122" s="45" t="str">
        <f t="shared" si="38"/>
        <v>Yes</v>
      </c>
      <c r="S122" s="46" t="str">
        <f t="shared" si="38"/>
        <v>Yes</v>
      </c>
      <c r="T122" s="47">
        <f>ROUND(INDEX(Summary!H:H,MATCH(H:H,Summary!A:A,0)),2)</f>
        <v>0.75</v>
      </c>
      <c r="U122" s="47">
        <f>ROUND(INDEX(Summary!I:I,MATCH(H:H,Summary!A:A,0)),2)</f>
        <v>1.83</v>
      </c>
      <c r="V122" s="85">
        <f t="shared" si="39"/>
        <v>798760.39536336926</v>
      </c>
      <c r="W122" s="85">
        <f t="shared" si="39"/>
        <v>4862861.1148569882</v>
      </c>
      <c r="X122" s="45">
        <f t="shared" si="40"/>
        <v>5661621.5102203572</v>
      </c>
      <c r="Y122" s="45" t="s">
        <v>3223</v>
      </c>
      <c r="Z122" s="45" t="str">
        <f t="shared" si="41"/>
        <v>Yes</v>
      </c>
      <c r="AA122" s="45" t="str">
        <f t="shared" si="41"/>
        <v>No</v>
      </c>
      <c r="AB122" s="45" t="str">
        <f t="shared" si="42"/>
        <v>Yes</v>
      </c>
      <c r="AC122" s="86">
        <f t="shared" si="55"/>
        <v>2.68</v>
      </c>
      <c r="AD122" s="86">
        <f t="shared" si="56"/>
        <v>0</v>
      </c>
      <c r="AE122" s="45">
        <f t="shared" si="57"/>
        <v>2854237.1460984396</v>
      </c>
      <c r="AF122" s="45">
        <f t="shared" si="57"/>
        <v>0</v>
      </c>
      <c r="AG122" s="45">
        <f t="shared" si="43"/>
        <v>2854237.1460984396</v>
      </c>
      <c r="AH122" s="47">
        <f>IF(Y122="No",0,IFERROR(ROUNDDOWN(INDEX('90% of ACR'!K:K,MATCH(H:H,'90% of ACR'!A:A,0))*IF(I122&gt;0,IF(O122&gt;0,$R$4*MAX(O122-V122,0),0),0)/I122,2),0))</f>
        <v>2.67</v>
      </c>
      <c r="AI122" s="86">
        <f>IF(Y122="No",0,IFERROR(ROUNDDOWN(INDEX('90% of ACR'!R:R,MATCH(H:H,'90% of ACR'!A:A,0))*IF(J122&gt;0,IF(P122&gt;0,$R$4*MAX(P122-W122,0),0),0)/J122,2),0))</f>
        <v>0</v>
      </c>
      <c r="AJ122" s="45">
        <f t="shared" si="44"/>
        <v>2843587.0074935942</v>
      </c>
      <c r="AK122" s="45">
        <f t="shared" si="44"/>
        <v>0</v>
      </c>
      <c r="AL122" s="47">
        <f t="shared" si="45"/>
        <v>3.42</v>
      </c>
      <c r="AM122" s="47">
        <f t="shared" si="45"/>
        <v>1.83</v>
      </c>
      <c r="AN122" s="87">
        <f>IFERROR(INDEX(FeeCalc!P:P,MATCH(C122,FeeCalc!F:F,0)),0)</f>
        <v>8505208.5177139528</v>
      </c>
      <c r="AO122" s="87">
        <f>IFERROR(INDEX(FeeCalc!S:S,MATCH(C122,FeeCalc!F:F,0)),0)</f>
        <v>532057.33098514425</v>
      </c>
      <c r="AP122" s="87">
        <f t="shared" si="46"/>
        <v>9037265.8486990966</v>
      </c>
      <c r="AQ122" s="72">
        <f t="shared" si="47"/>
        <v>3834801.0921101854</v>
      </c>
      <c r="AR122" s="72">
        <f t="shared" si="48"/>
        <v>1917400.5460550927</v>
      </c>
      <c r="AS122" s="72">
        <f t="shared" si="49"/>
        <v>1917400.5460550927</v>
      </c>
      <c r="AT122" s="72">
        <f>IFERROR(IFERROR(INDEX('2023 IP UPL Data'!L:L,MATCH(A:A,'2023 IP UPL Data'!B:B,0)),INDEX('2023 IMD UPL Data'!I:I,MATCH(A:A,'2023 IMD UPL Data'!B:B,0))),0)</f>
        <v>1740348.8797468357</v>
      </c>
      <c r="AU122" s="72">
        <f>IFERROR(IF(F120="IMD",0,INDEX('2023 OP UPL Data'!J:J,MATCH(A:A,'2023 OP UPL Data'!B:B,0))),0)</f>
        <v>1806755.2531645568</v>
      </c>
      <c r="AV122" s="45">
        <f t="shared" si="50"/>
        <v>3547104.1329113925</v>
      </c>
      <c r="AW122" s="72">
        <f>IFERROR(IFERROR(INDEX('2023 IP UPL Data'!M:M,MATCH(A:A,'2023 IP UPL Data'!B:B,0)),INDEX('2023 IMD UPL Data'!K:K,MATCH(A:A,'2023 IMD UPL Data'!B:B,0))),0)</f>
        <v>3194523.37</v>
      </c>
      <c r="AX122" s="72">
        <f>IFERROR(IF(F120="IMD",0,INDEX('2023 OP UPL Data'!L:L,MATCH(A:A,'2023 OP UPL Data'!B:B,0))),0)</f>
        <v>4910267.33</v>
      </c>
      <c r="AY122" s="45">
        <f t="shared" si="51"/>
        <v>8104790.7000000002</v>
      </c>
      <c r="AZ122" s="72">
        <v>6632441.8789512292</v>
      </c>
      <c r="BA122" s="72">
        <v>5788943.0580152869</v>
      </c>
      <c r="BB122" s="72">
        <f t="shared" si="52"/>
        <v>5833681.4835878601</v>
      </c>
      <c r="BC122" s="72">
        <f t="shared" si="52"/>
        <v>926081.94315829873</v>
      </c>
      <c r="BD122" s="72">
        <f t="shared" si="53"/>
        <v>6759763.4267461589</v>
      </c>
      <c r="BE122" s="94">
        <f t="shared" si="54"/>
        <v>3437918.508951229</v>
      </c>
      <c r="BF122" s="94">
        <f t="shared" si="54"/>
        <v>878675.72801528685</v>
      </c>
      <c r="BG122" s="73">
        <f>IFERROR(INDEX('2023 IP UPL Data'!K:K,MATCH(A122,'2023 IP UPL Data'!B:B,0)),0)</f>
        <v>0</v>
      </c>
    </row>
    <row r="123" spans="1:59">
      <c r="A123" s="124" t="s">
        <v>1493</v>
      </c>
      <c r="B123" s="149" t="s">
        <v>1493</v>
      </c>
      <c r="C123" s="31" t="s">
        <v>1494</v>
      </c>
      <c r="D123" s="181" t="s">
        <v>1494</v>
      </c>
      <c r="E123" s="144" t="s">
        <v>3088</v>
      </c>
      <c r="F123" s="120" t="s">
        <v>2718</v>
      </c>
      <c r="G123" s="120" t="s">
        <v>1489</v>
      </c>
      <c r="H123" s="43" t="str">
        <f t="shared" si="34"/>
        <v>Urban MRSA Central</v>
      </c>
      <c r="I123" s="45">
        <f>INDEX(FeeCalc!M:M,MATCH(C:C,FeeCalc!F:F,0))</f>
        <v>0</v>
      </c>
      <c r="J123" s="45">
        <f>INDEX(FeeCalc!L:L,MATCH(C:C,FeeCalc!F:F,0))</f>
        <v>123.21149712126591</v>
      </c>
      <c r="K123" s="45">
        <f t="shared" si="35"/>
        <v>123.21149712126591</v>
      </c>
      <c r="L123" s="45">
        <f>IFERROR(IFERROR(INDEX('2023 IP UPL Data'!N:N,MATCH(A:A,'2023 IP UPL Data'!B:B,0)),INDEX('2023 IMD UPL Data'!M:M,MATCH(A:A,'2023 IMD UPL Data'!B:B,0))),0)</f>
        <v>-2551.307218934915</v>
      </c>
      <c r="M123" s="45">
        <f>IFERROR((IF(F123="IMD",0,INDEX('2023 OP UPL Data'!M:M,MATCH(A:A,'2023 OP UPL Data'!B:B,0)))),0)</f>
        <v>0</v>
      </c>
      <c r="N123" s="45">
        <f t="shared" si="36"/>
        <v>-2551.307218934915</v>
      </c>
      <c r="O123" s="45">
        <v>18684.608577375122</v>
      </c>
      <c r="P123" s="45">
        <v>0</v>
      </c>
      <c r="Q123" s="45">
        <f t="shared" si="37"/>
        <v>18684.608577375122</v>
      </c>
      <c r="R123" s="45" t="str">
        <f t="shared" si="38"/>
        <v>Yes</v>
      </c>
      <c r="S123" s="46" t="str">
        <f t="shared" si="38"/>
        <v>No</v>
      </c>
      <c r="T123" s="47">
        <f>ROUND(INDEX(Summary!H:H,MATCH(H:H,Summary!A:A,0)),2)</f>
        <v>0.78</v>
      </c>
      <c r="U123" s="47">
        <f>ROUND(INDEX(Summary!I:I,MATCH(H:H,Summary!A:A,0)),2)</f>
        <v>1.29</v>
      </c>
      <c r="V123" s="85">
        <f t="shared" si="39"/>
        <v>0</v>
      </c>
      <c r="W123" s="85">
        <f t="shared" si="39"/>
        <v>158.94283128643303</v>
      </c>
      <c r="X123" s="45">
        <f t="shared" si="40"/>
        <v>158.94283128643303</v>
      </c>
      <c r="Y123" s="45" t="s">
        <v>3223</v>
      </c>
      <c r="Z123" s="45" t="str">
        <f t="shared" si="41"/>
        <v>No</v>
      </c>
      <c r="AA123" s="45" t="str">
        <f t="shared" si="41"/>
        <v>No</v>
      </c>
      <c r="AB123" s="45" t="str">
        <f t="shared" si="42"/>
        <v>No</v>
      </c>
      <c r="AC123" s="86">
        <f t="shared" si="55"/>
        <v>0</v>
      </c>
      <c r="AD123" s="86">
        <f t="shared" si="56"/>
        <v>0</v>
      </c>
      <c r="AE123" s="45">
        <f t="shared" si="57"/>
        <v>0</v>
      </c>
      <c r="AF123" s="45">
        <f t="shared" si="57"/>
        <v>0</v>
      </c>
      <c r="AG123" s="45">
        <f t="shared" si="43"/>
        <v>0</v>
      </c>
      <c r="AH123" s="47">
        <f>IF(Y123="No",0,IFERROR(ROUNDDOWN(INDEX('90% of ACR'!K:K,MATCH(H:H,'90% of ACR'!A:A,0))*IF(I123&gt;0,IF(O123&gt;0,$R$4*MAX(O123-V123,0),0),0)/I123,2),0))</f>
        <v>0</v>
      </c>
      <c r="AI123" s="86">
        <f>IF(Y123="No",0,IFERROR(ROUNDDOWN(INDEX('90% of ACR'!R:R,MATCH(H:H,'90% of ACR'!A:A,0))*IF(J123&gt;0,IF(P123&gt;0,$R$4*MAX(P123-W123,0),0),0)/J123,2),0))</f>
        <v>0</v>
      </c>
      <c r="AJ123" s="45">
        <f t="shared" si="44"/>
        <v>0</v>
      </c>
      <c r="AK123" s="45">
        <f t="shared" si="44"/>
        <v>0</v>
      </c>
      <c r="AL123" s="47">
        <f t="shared" si="45"/>
        <v>0.78</v>
      </c>
      <c r="AM123" s="47">
        <f t="shared" si="45"/>
        <v>1.29</v>
      </c>
      <c r="AN123" s="87">
        <f>IFERROR(INDEX(FeeCalc!P:P,MATCH(C123,FeeCalc!F:F,0)),0)</f>
        <v>158.94283128643303</v>
      </c>
      <c r="AO123" s="87">
        <f>IFERROR(INDEX(FeeCalc!S:S,MATCH(C123,FeeCalc!F:F,0)),0)</f>
        <v>9.6967775055383534</v>
      </c>
      <c r="AP123" s="87">
        <f t="shared" si="46"/>
        <v>168.6396087919714</v>
      </c>
      <c r="AQ123" s="72">
        <f t="shared" si="47"/>
        <v>71.559182477914817</v>
      </c>
      <c r="AR123" s="72">
        <f t="shared" si="48"/>
        <v>35.779591238957408</v>
      </c>
      <c r="AS123" s="72">
        <f t="shared" si="49"/>
        <v>35.779591238957408</v>
      </c>
      <c r="AT123" s="72">
        <f>IFERROR(IFERROR(INDEX('2023 IP UPL Data'!L:L,MATCH(A:A,'2023 IP UPL Data'!B:B,0)),INDEX('2023 IMD UPL Data'!I:I,MATCH(A:A,'2023 IMD UPL Data'!B:B,0))),0)</f>
        <v>25615.627218934915</v>
      </c>
      <c r="AU123" s="72">
        <f>IFERROR(IF(F121="IMD",0,INDEX('2023 OP UPL Data'!J:J,MATCH(A:A,'2023 OP UPL Data'!B:B,0))),0)</f>
        <v>0</v>
      </c>
      <c r="AV123" s="45">
        <f t="shared" si="50"/>
        <v>25615.627218934915</v>
      </c>
      <c r="AW123" s="72">
        <f>IFERROR(IFERROR(INDEX('2023 IP UPL Data'!M:M,MATCH(A:A,'2023 IP UPL Data'!B:B,0)),INDEX('2023 IMD UPL Data'!K:K,MATCH(A:A,'2023 IMD UPL Data'!B:B,0))),0)</f>
        <v>23064.32</v>
      </c>
      <c r="AX123" s="72">
        <f>IFERROR(IF(F121="IMD",0,INDEX('2023 OP UPL Data'!L:L,MATCH(A:A,'2023 OP UPL Data'!B:B,0))),0)</f>
        <v>0</v>
      </c>
      <c r="AY123" s="45">
        <f t="shared" si="51"/>
        <v>23064.32</v>
      </c>
      <c r="AZ123" s="72">
        <v>44300.235796310037</v>
      </c>
      <c r="BA123" s="72">
        <v>0</v>
      </c>
      <c r="BB123" s="72">
        <f t="shared" si="52"/>
        <v>44300.235796310037</v>
      </c>
      <c r="BC123" s="72">
        <f t="shared" si="52"/>
        <v>0</v>
      </c>
      <c r="BD123" s="72">
        <f t="shared" si="53"/>
        <v>44141.292965023604</v>
      </c>
      <c r="BE123" s="94">
        <f t="shared" si="54"/>
        <v>21235.915796310037</v>
      </c>
      <c r="BF123" s="94">
        <f t="shared" si="54"/>
        <v>0</v>
      </c>
      <c r="BG123" s="73">
        <f>IFERROR(INDEX('2023 IP UPL Data'!K:K,MATCH(A123,'2023 IP UPL Data'!B:B,0)),0)</f>
        <v>0</v>
      </c>
    </row>
    <row r="124" spans="1:59">
      <c r="A124" s="124" t="s">
        <v>756</v>
      </c>
      <c r="B124" s="149" t="s">
        <v>756</v>
      </c>
      <c r="C124" s="31" t="s">
        <v>757</v>
      </c>
      <c r="D124" s="181" t="s">
        <v>757</v>
      </c>
      <c r="E124" s="144" t="s">
        <v>3490</v>
      </c>
      <c r="F124" s="120" t="s">
        <v>2718</v>
      </c>
      <c r="G124" s="120" t="s">
        <v>1489</v>
      </c>
      <c r="H124" s="43" t="str">
        <f t="shared" si="34"/>
        <v>Urban MRSA Central</v>
      </c>
      <c r="I124" s="45">
        <f>INDEX(FeeCalc!M:M,MATCH(C:C,FeeCalc!F:F,0))</f>
        <v>12298261.899081547</v>
      </c>
      <c r="J124" s="45">
        <f>INDEX(FeeCalc!L:L,MATCH(C:C,FeeCalc!F:F,0))</f>
        <v>6587833.5271787811</v>
      </c>
      <c r="K124" s="45">
        <f t="shared" si="35"/>
        <v>18886095.42626033</v>
      </c>
      <c r="L124" s="45">
        <f>IFERROR(IFERROR(INDEX('2023 IP UPL Data'!N:N,MATCH(A:A,'2023 IP UPL Data'!B:B,0)),INDEX('2023 IMD UPL Data'!M:M,MATCH(A:A,'2023 IMD UPL Data'!B:B,0))),0)</f>
        <v>11202319.578106508</v>
      </c>
      <c r="M124" s="45">
        <f>IFERROR((IF(F124="IMD",0,INDEX('2023 OP UPL Data'!M:M,MATCH(A:A,'2023 OP UPL Data'!B:B,0)))),0)</f>
        <v>10593814.906508876</v>
      </c>
      <c r="N124" s="45">
        <f t="shared" si="36"/>
        <v>21796134.484615386</v>
      </c>
      <c r="O124" s="45">
        <v>19539874.076053251</v>
      </c>
      <c r="P124" s="45">
        <v>12995903.077707514</v>
      </c>
      <c r="Q124" s="45">
        <f t="shared" si="37"/>
        <v>32535777.153760765</v>
      </c>
      <c r="R124" s="45" t="str">
        <f t="shared" si="38"/>
        <v>Yes</v>
      </c>
      <c r="S124" s="46" t="str">
        <f t="shared" si="38"/>
        <v>Yes</v>
      </c>
      <c r="T124" s="47">
        <f>ROUND(INDEX(Summary!H:H,MATCH(H:H,Summary!A:A,0)),2)</f>
        <v>0.78</v>
      </c>
      <c r="U124" s="47">
        <f>ROUND(INDEX(Summary!I:I,MATCH(H:H,Summary!A:A,0)),2)</f>
        <v>1.29</v>
      </c>
      <c r="V124" s="85">
        <f t="shared" si="39"/>
        <v>9592644.2812836077</v>
      </c>
      <c r="W124" s="85">
        <f t="shared" si="39"/>
        <v>8498305.2500606272</v>
      </c>
      <c r="X124" s="45">
        <f t="shared" si="40"/>
        <v>18090949.531344235</v>
      </c>
      <c r="Y124" s="45" t="s">
        <v>3223</v>
      </c>
      <c r="Z124" s="45" t="str">
        <f t="shared" si="41"/>
        <v>Yes</v>
      </c>
      <c r="AA124" s="45" t="str">
        <f t="shared" si="41"/>
        <v>Yes</v>
      </c>
      <c r="AB124" s="45" t="str">
        <f t="shared" si="42"/>
        <v>Yes</v>
      </c>
      <c r="AC124" s="86">
        <f t="shared" si="55"/>
        <v>0.56000000000000005</v>
      </c>
      <c r="AD124" s="86">
        <f t="shared" si="56"/>
        <v>0.48</v>
      </c>
      <c r="AE124" s="45">
        <f t="shared" si="57"/>
        <v>6887026.6634856667</v>
      </c>
      <c r="AF124" s="45">
        <f t="shared" si="57"/>
        <v>3162160.0930458149</v>
      </c>
      <c r="AG124" s="45">
        <f t="shared" si="43"/>
        <v>10049186.756531481</v>
      </c>
      <c r="AH124" s="47">
        <f>IF(Y124="No",0,IFERROR(ROUNDDOWN(INDEX('90% of ACR'!K:K,MATCH(H:H,'90% of ACR'!A:A,0))*IF(I124&gt;0,IF(O124&gt;0,$R$4*MAX(O124-V124,0),0),0)/I124,2),0))</f>
        <v>0.56000000000000005</v>
      </c>
      <c r="AI124" s="86">
        <f>IF(Y124="No",0,IFERROR(ROUNDDOWN(INDEX('90% of ACR'!R:R,MATCH(H:H,'90% of ACR'!A:A,0))*IF(J124&gt;0,IF(P124&gt;0,$R$4*MAX(P124-W124,0),0),0)/J124,2),0))</f>
        <v>0.02</v>
      </c>
      <c r="AJ124" s="45">
        <f t="shared" si="44"/>
        <v>6887026.6634856667</v>
      </c>
      <c r="AK124" s="45">
        <f t="shared" si="44"/>
        <v>131756.67054357563</v>
      </c>
      <c r="AL124" s="47">
        <f t="shared" si="45"/>
        <v>1.34</v>
      </c>
      <c r="AM124" s="47">
        <f t="shared" si="45"/>
        <v>1.31</v>
      </c>
      <c r="AN124" s="87">
        <f>IFERROR(INDEX(FeeCalc!P:P,MATCH(C124,FeeCalc!F:F,0)),0)</f>
        <v>25109732.865373477</v>
      </c>
      <c r="AO124" s="87">
        <f>IFERROR(INDEX(FeeCalc!S:S,MATCH(C124,FeeCalc!F:F,0)),0)</f>
        <v>1554668.9106588224</v>
      </c>
      <c r="AP124" s="87">
        <f t="shared" si="46"/>
        <v>26664401.776032299</v>
      </c>
      <c r="AQ124" s="72">
        <f t="shared" si="47"/>
        <v>11314558.93442734</v>
      </c>
      <c r="AR124" s="72">
        <f t="shared" si="48"/>
        <v>5657279.4672136698</v>
      </c>
      <c r="AS124" s="72">
        <f t="shared" si="49"/>
        <v>5657279.4672136698</v>
      </c>
      <c r="AT124" s="72">
        <f>IFERROR(IFERROR(INDEX('2023 IP UPL Data'!L:L,MATCH(A:A,'2023 IP UPL Data'!B:B,0)),INDEX('2023 IMD UPL Data'!I:I,MATCH(A:A,'2023 IMD UPL Data'!B:B,0))),0)</f>
        <v>11119618.721893493</v>
      </c>
      <c r="AU124" s="72">
        <f>IFERROR(IF(F122="IMD",0,INDEX('2023 OP UPL Data'!J:J,MATCH(A:A,'2023 OP UPL Data'!B:B,0))),0)</f>
        <v>3340968.8934911247</v>
      </c>
      <c r="AV124" s="45">
        <f t="shared" si="50"/>
        <v>14460587.615384618</v>
      </c>
      <c r="AW124" s="72">
        <f>IFERROR(IFERROR(INDEX('2023 IP UPL Data'!M:M,MATCH(A:A,'2023 IP UPL Data'!B:B,0)),INDEX('2023 IMD UPL Data'!K:K,MATCH(A:A,'2023 IMD UPL Data'!B:B,0))),0)</f>
        <v>22321938.300000001</v>
      </c>
      <c r="AX124" s="72">
        <f>IFERROR(IF(F122="IMD",0,INDEX('2023 OP UPL Data'!L:L,MATCH(A:A,'2023 OP UPL Data'!B:B,0))),0)</f>
        <v>13934783.800000001</v>
      </c>
      <c r="AY124" s="45">
        <f t="shared" si="51"/>
        <v>36256722.100000001</v>
      </c>
      <c r="AZ124" s="72">
        <v>30659492.797946744</v>
      </c>
      <c r="BA124" s="72">
        <v>16336871.971198639</v>
      </c>
      <c r="BB124" s="72">
        <f t="shared" si="52"/>
        <v>21066848.516663134</v>
      </c>
      <c r="BC124" s="72">
        <f t="shared" si="52"/>
        <v>7838566.7211380117</v>
      </c>
      <c r="BD124" s="72">
        <f t="shared" si="53"/>
        <v>28905415.237801149</v>
      </c>
      <c r="BE124" s="94">
        <f t="shared" si="54"/>
        <v>8337554.4979467429</v>
      </c>
      <c r="BF124" s="94">
        <f t="shared" si="54"/>
        <v>2402088.1711986382</v>
      </c>
      <c r="BG124" s="73">
        <f>IFERROR(INDEX('2023 IP UPL Data'!K:K,MATCH(A124,'2023 IP UPL Data'!B:B,0)),0)</f>
        <v>0</v>
      </c>
    </row>
    <row r="125" spans="1:59">
      <c r="A125" s="124" t="s">
        <v>1010</v>
      </c>
      <c r="B125" s="149" t="s">
        <v>1010</v>
      </c>
      <c r="C125" s="31" t="s">
        <v>1011</v>
      </c>
      <c r="D125" s="181" t="s">
        <v>1011</v>
      </c>
      <c r="E125" s="144" t="s">
        <v>3491</v>
      </c>
      <c r="F125" s="120" t="s">
        <v>2718</v>
      </c>
      <c r="G125" s="120" t="s">
        <v>1489</v>
      </c>
      <c r="H125" s="43" t="str">
        <f t="shared" si="34"/>
        <v>Urban MRSA Central</v>
      </c>
      <c r="I125" s="45">
        <f>INDEX(FeeCalc!M:M,MATCH(C:C,FeeCalc!F:F,0))</f>
        <v>38636964.992591135</v>
      </c>
      <c r="J125" s="45">
        <f>INDEX(FeeCalc!L:L,MATCH(C:C,FeeCalc!F:F,0))</f>
        <v>33539280.949685801</v>
      </c>
      <c r="K125" s="45">
        <f t="shared" si="35"/>
        <v>72176245.94227694</v>
      </c>
      <c r="L125" s="45">
        <f>IFERROR(IFERROR(INDEX('2023 IP UPL Data'!N:N,MATCH(A:A,'2023 IP UPL Data'!B:B,0)),INDEX('2023 IMD UPL Data'!M:M,MATCH(A:A,'2023 IMD UPL Data'!B:B,0))),0)</f>
        <v>27169522.689999998</v>
      </c>
      <c r="M125" s="45">
        <f>IFERROR((IF(F125="IMD",0,INDEX('2023 OP UPL Data'!M:M,MATCH(A:A,'2023 OP UPL Data'!B:B,0)))),0)</f>
        <v>41451996.316153862</v>
      </c>
      <c r="N125" s="45">
        <f t="shared" si="36"/>
        <v>68621519.006153852</v>
      </c>
      <c r="O125" s="45">
        <v>62956635.34280619</v>
      </c>
      <c r="P125" s="45">
        <v>45463400.778894506</v>
      </c>
      <c r="Q125" s="45">
        <f t="shared" si="37"/>
        <v>108420036.1217007</v>
      </c>
      <c r="R125" s="45" t="str">
        <f t="shared" si="38"/>
        <v>Yes</v>
      </c>
      <c r="S125" s="46" t="str">
        <f t="shared" si="38"/>
        <v>Yes</v>
      </c>
      <c r="T125" s="47">
        <f>ROUND(INDEX(Summary!H:H,MATCH(H:H,Summary!A:A,0)),2)</f>
        <v>0.78</v>
      </c>
      <c r="U125" s="47">
        <f>ROUND(INDEX(Summary!I:I,MATCH(H:H,Summary!A:A,0)),2)</f>
        <v>1.29</v>
      </c>
      <c r="V125" s="85">
        <f t="shared" si="39"/>
        <v>30136832.694221087</v>
      </c>
      <c r="W125" s="85">
        <f t="shared" si="39"/>
        <v>43265672.425094686</v>
      </c>
      <c r="X125" s="45">
        <f t="shared" si="40"/>
        <v>73402505.119315773</v>
      </c>
      <c r="Y125" s="45" t="s">
        <v>3223</v>
      </c>
      <c r="Z125" s="45" t="str">
        <f t="shared" si="41"/>
        <v>Yes</v>
      </c>
      <c r="AA125" s="45" t="str">
        <f t="shared" si="41"/>
        <v>No</v>
      </c>
      <c r="AB125" s="45" t="str">
        <f t="shared" si="42"/>
        <v>Yes</v>
      </c>
      <c r="AC125" s="86">
        <f t="shared" si="55"/>
        <v>0.59</v>
      </c>
      <c r="AD125" s="86">
        <f t="shared" si="56"/>
        <v>0.05</v>
      </c>
      <c r="AE125" s="45">
        <f t="shared" si="57"/>
        <v>22795809.345628768</v>
      </c>
      <c r="AF125" s="45">
        <f t="shared" si="57"/>
        <v>1676964.0474842901</v>
      </c>
      <c r="AG125" s="45">
        <f t="shared" si="43"/>
        <v>24472773.393113058</v>
      </c>
      <c r="AH125" s="47">
        <f>IF(Y125="No",0,IFERROR(ROUNDDOWN(INDEX('90% of ACR'!K:K,MATCH(H:H,'90% of ACR'!A:A,0))*IF(I125&gt;0,IF(O125&gt;0,$R$4*MAX(O125-V125,0),0),0)/I125,2),0))</f>
        <v>0.59</v>
      </c>
      <c r="AI125" s="86">
        <f>IF(Y125="No",0,IFERROR(ROUNDDOWN(INDEX('90% of ACR'!R:R,MATCH(H:H,'90% of ACR'!A:A,0))*IF(J125&gt;0,IF(P125&gt;0,$R$4*MAX(P125-W125,0),0),0)/J125,2),0))</f>
        <v>0</v>
      </c>
      <c r="AJ125" s="45">
        <f t="shared" si="44"/>
        <v>22795809.345628768</v>
      </c>
      <c r="AK125" s="45">
        <f t="shared" si="44"/>
        <v>0</v>
      </c>
      <c r="AL125" s="47">
        <f t="shared" si="45"/>
        <v>1.37</v>
      </c>
      <c r="AM125" s="47">
        <f t="shared" si="45"/>
        <v>1.29</v>
      </c>
      <c r="AN125" s="87">
        <f>IFERROR(INDEX(FeeCalc!P:P,MATCH(C125,FeeCalc!F:F,0)),0)</f>
        <v>96198314.464944541</v>
      </c>
      <c r="AO125" s="87">
        <f>IFERROR(INDEX(FeeCalc!S:S,MATCH(C125,FeeCalc!F:F,0)),0)</f>
        <v>5950565.3004133916</v>
      </c>
      <c r="AP125" s="87">
        <f t="shared" si="46"/>
        <v>102148879.76535793</v>
      </c>
      <c r="AQ125" s="72">
        <f t="shared" si="47"/>
        <v>43345038.448593862</v>
      </c>
      <c r="AR125" s="72">
        <f t="shared" si="48"/>
        <v>21672519.224296931</v>
      </c>
      <c r="AS125" s="72">
        <f t="shared" si="49"/>
        <v>21672519.224296931</v>
      </c>
      <c r="AT125" s="72">
        <f>IFERROR(IFERROR(INDEX('2023 IP UPL Data'!L:L,MATCH(A:A,'2023 IP UPL Data'!B:B,0)),INDEX('2023 IMD UPL Data'!I:I,MATCH(A:A,'2023 IMD UPL Data'!B:B,0))),0)</f>
        <v>36896774</v>
      </c>
      <c r="AU125" s="72">
        <f>IFERROR(IF(F123="IMD",0,INDEX('2023 OP UPL Data'!J:J,MATCH(A:A,'2023 OP UPL Data'!B:B,0))),0)</f>
        <v>19229592.153846137</v>
      </c>
      <c r="AV125" s="45">
        <f t="shared" si="50"/>
        <v>56126366.153846137</v>
      </c>
      <c r="AW125" s="72">
        <f>IFERROR(IFERROR(INDEX('2023 IP UPL Data'!M:M,MATCH(A:A,'2023 IP UPL Data'!B:B,0)),INDEX('2023 IMD UPL Data'!K:K,MATCH(A:A,'2023 IMD UPL Data'!B:B,0))),0)</f>
        <v>64066296.689999998</v>
      </c>
      <c r="AX125" s="72">
        <f>IFERROR(IF(F123="IMD",0,INDEX('2023 OP UPL Data'!L:L,MATCH(A:A,'2023 OP UPL Data'!B:B,0))),0)</f>
        <v>60681588.469999999</v>
      </c>
      <c r="AY125" s="45">
        <f t="shared" si="51"/>
        <v>124747885.16</v>
      </c>
      <c r="AZ125" s="72">
        <v>99853409.34280619</v>
      </c>
      <c r="BA125" s="72">
        <v>64692992.932740644</v>
      </c>
      <c r="BB125" s="72">
        <f t="shared" si="52"/>
        <v>69716576.648585111</v>
      </c>
      <c r="BC125" s="72">
        <f t="shared" si="52"/>
        <v>21427320.507645957</v>
      </c>
      <c r="BD125" s="72">
        <f t="shared" si="53"/>
        <v>91143897.156231076</v>
      </c>
      <c r="BE125" s="94">
        <f t="shared" si="54"/>
        <v>35787112.652806193</v>
      </c>
      <c r="BF125" s="94">
        <f t="shared" si="54"/>
        <v>4011404.4627406448</v>
      </c>
      <c r="BG125" s="73">
        <f>IFERROR(INDEX('2023 IP UPL Data'!K:K,MATCH(A125,'2023 IP UPL Data'!B:B,0)),0)</f>
        <v>0</v>
      </c>
    </row>
    <row r="126" spans="1:59">
      <c r="A126" s="124" t="s">
        <v>2724</v>
      </c>
      <c r="B126" s="149" t="s">
        <v>2724</v>
      </c>
      <c r="C126" s="31" t="s">
        <v>2725</v>
      </c>
      <c r="D126" s="181" t="s">
        <v>2725</v>
      </c>
      <c r="E126" s="144" t="s">
        <v>3492</v>
      </c>
      <c r="F126" s="120" t="s">
        <v>2718</v>
      </c>
      <c r="G126" s="120" t="s">
        <v>1202</v>
      </c>
      <c r="H126" s="43" t="str">
        <f t="shared" si="34"/>
        <v>Urban Travis</v>
      </c>
      <c r="I126" s="45">
        <f>INDEX(FeeCalc!M:M,MATCH(C:C,FeeCalc!F:F,0))</f>
        <v>47505.340416086059</v>
      </c>
      <c r="J126" s="45">
        <f>INDEX(FeeCalc!L:L,MATCH(C:C,FeeCalc!F:F,0))</f>
        <v>425254.09873831313</v>
      </c>
      <c r="K126" s="45">
        <f t="shared" si="35"/>
        <v>472759.43915439921</v>
      </c>
      <c r="L126" s="45">
        <f>IFERROR(IFERROR(INDEX('2023 IP UPL Data'!N:N,MATCH(A:A,'2023 IP UPL Data'!B:B,0)),INDEX('2023 IMD UPL Data'!M:M,MATCH(A:A,'2023 IMD UPL Data'!B:B,0))),0)</f>
        <v>171562.06620253166</v>
      </c>
      <c r="M126" s="45">
        <f>IFERROR((IF(F126="IMD",0,INDEX('2023 OP UPL Data'!M:M,MATCH(A:A,'2023 OP UPL Data'!B:B,0)))),0)</f>
        <v>36820.367848101305</v>
      </c>
      <c r="N126" s="45">
        <f t="shared" si="36"/>
        <v>208382.43405063296</v>
      </c>
      <c r="O126" s="45">
        <v>213646.2554074362</v>
      </c>
      <c r="P126" s="45">
        <v>220170.42123013869</v>
      </c>
      <c r="Q126" s="45">
        <f t="shared" si="37"/>
        <v>433816.67663757491</v>
      </c>
      <c r="R126" s="45" t="str">
        <f t="shared" si="38"/>
        <v>Yes</v>
      </c>
      <c r="S126" s="46" t="str">
        <f t="shared" si="38"/>
        <v>Yes</v>
      </c>
      <c r="T126" s="47">
        <f>ROUND(INDEX(Summary!H:H,MATCH(H:H,Summary!A:A,0)),2)</f>
        <v>0.75</v>
      </c>
      <c r="U126" s="47">
        <f>ROUND(INDEX(Summary!I:I,MATCH(H:H,Summary!A:A,0)),2)</f>
        <v>1.83</v>
      </c>
      <c r="V126" s="85">
        <f t="shared" si="39"/>
        <v>35629.005312064546</v>
      </c>
      <c r="W126" s="85">
        <f t="shared" si="39"/>
        <v>778215.00069111306</v>
      </c>
      <c r="X126" s="45">
        <f t="shared" si="40"/>
        <v>813844.00600317761</v>
      </c>
      <c r="Y126" s="45" t="s">
        <v>3223</v>
      </c>
      <c r="Z126" s="45" t="str">
        <f t="shared" si="41"/>
        <v>Yes</v>
      </c>
      <c r="AA126" s="45" t="str">
        <f t="shared" si="41"/>
        <v>No</v>
      </c>
      <c r="AB126" s="45" t="str">
        <f t="shared" si="42"/>
        <v>Yes</v>
      </c>
      <c r="AC126" s="86">
        <f t="shared" si="55"/>
        <v>2.61</v>
      </c>
      <c r="AD126" s="86">
        <f t="shared" si="56"/>
        <v>0</v>
      </c>
      <c r="AE126" s="45">
        <f t="shared" si="57"/>
        <v>123988.9384859846</v>
      </c>
      <c r="AF126" s="45">
        <f t="shared" si="57"/>
        <v>0</v>
      </c>
      <c r="AG126" s="45">
        <f t="shared" si="43"/>
        <v>123988.9384859846</v>
      </c>
      <c r="AH126" s="47">
        <f>IF(Y126="No",0,IFERROR(ROUNDDOWN(INDEX('90% of ACR'!K:K,MATCH(H:H,'90% of ACR'!A:A,0))*IF(I126&gt;0,IF(O126&gt;0,$R$4*MAX(O126-V126,0),0),0)/I126,2),0))</f>
        <v>2.61</v>
      </c>
      <c r="AI126" s="86">
        <f>IF(Y126="No",0,IFERROR(ROUNDDOWN(INDEX('90% of ACR'!R:R,MATCH(H:H,'90% of ACR'!A:A,0))*IF(J126&gt;0,IF(P126&gt;0,$R$4*MAX(P126-W126,0),0),0)/J126,2),0))</f>
        <v>0</v>
      </c>
      <c r="AJ126" s="45">
        <f t="shared" si="44"/>
        <v>123988.9384859846</v>
      </c>
      <c r="AK126" s="45">
        <f t="shared" si="44"/>
        <v>0</v>
      </c>
      <c r="AL126" s="47">
        <f t="shared" si="45"/>
        <v>3.36</v>
      </c>
      <c r="AM126" s="47">
        <f t="shared" si="45"/>
        <v>1.83</v>
      </c>
      <c r="AN126" s="87">
        <f>IFERROR(INDEX(FeeCalc!P:P,MATCH(C126,FeeCalc!F:F,0)),0)</f>
        <v>937832.94448916218</v>
      </c>
      <c r="AO126" s="87">
        <f>IFERROR(INDEX(FeeCalc!S:S,MATCH(C126,FeeCalc!F:F,0)),0)</f>
        <v>58276.516088792923</v>
      </c>
      <c r="AP126" s="87">
        <f t="shared" si="46"/>
        <v>996109.46057795512</v>
      </c>
      <c r="AQ126" s="72">
        <f t="shared" si="47"/>
        <v>422681.1196259649</v>
      </c>
      <c r="AR126" s="72">
        <f t="shared" si="48"/>
        <v>211340.55981298245</v>
      </c>
      <c r="AS126" s="72">
        <f t="shared" si="49"/>
        <v>211340.55981298245</v>
      </c>
      <c r="AT126" s="72">
        <f>IFERROR(IFERROR(INDEX('2023 IP UPL Data'!L:L,MATCH(A:A,'2023 IP UPL Data'!B:B,0)),INDEX('2023 IMD UPL Data'!I:I,MATCH(A:A,'2023 IMD UPL Data'!B:B,0))),0)</f>
        <v>98715.443797468353</v>
      </c>
      <c r="AU126" s="72">
        <f>IFERROR(IF(F124="IMD",0,INDEX('2023 OP UPL Data'!J:J,MATCH(A:A,'2023 OP UPL Data'!B:B,0))),0)</f>
        <v>308541.97215189872</v>
      </c>
      <c r="AV126" s="45">
        <f t="shared" si="50"/>
        <v>407257.4159493671</v>
      </c>
      <c r="AW126" s="72">
        <f>IFERROR(IFERROR(INDEX('2023 IP UPL Data'!M:M,MATCH(A:A,'2023 IP UPL Data'!B:B,0)),INDEX('2023 IMD UPL Data'!K:K,MATCH(A:A,'2023 IMD UPL Data'!B:B,0))),0)</f>
        <v>270277.51</v>
      </c>
      <c r="AX126" s="72">
        <f>IFERROR(IF(F124="IMD",0,INDEX('2023 OP UPL Data'!L:L,MATCH(A:A,'2023 OP UPL Data'!B:B,0))),0)</f>
        <v>345362.34</v>
      </c>
      <c r="AY126" s="45">
        <f t="shared" si="51"/>
        <v>615639.85000000009</v>
      </c>
      <c r="AZ126" s="72">
        <v>312361.69920490455</v>
      </c>
      <c r="BA126" s="72">
        <v>528712.39338203741</v>
      </c>
      <c r="BB126" s="72">
        <f t="shared" si="52"/>
        <v>276732.69389284</v>
      </c>
      <c r="BC126" s="72">
        <f t="shared" si="52"/>
        <v>0</v>
      </c>
      <c r="BD126" s="72">
        <f t="shared" si="53"/>
        <v>27230.086583764409</v>
      </c>
      <c r="BE126" s="94">
        <f t="shared" si="54"/>
        <v>42084.189204904542</v>
      </c>
      <c r="BF126" s="94">
        <f t="shared" si="54"/>
        <v>183350.05338203738</v>
      </c>
      <c r="BG126" s="73">
        <f>IFERROR(INDEX('2023 IP UPL Data'!K:K,MATCH(A126,'2023 IP UPL Data'!B:B,0)),0)</f>
        <v>0</v>
      </c>
    </row>
    <row r="127" spans="1:59">
      <c r="A127" s="124" t="s">
        <v>1487</v>
      </c>
      <c r="B127" s="149" t="s">
        <v>1487</v>
      </c>
      <c r="C127" s="31" t="s">
        <v>1488</v>
      </c>
      <c r="D127" s="181" t="s">
        <v>1488</v>
      </c>
      <c r="E127" s="144" t="s">
        <v>3416</v>
      </c>
      <c r="F127" s="120" t="s">
        <v>2768</v>
      </c>
      <c r="G127" s="120" t="s">
        <v>1489</v>
      </c>
      <c r="H127" s="43" t="str">
        <f t="shared" si="34"/>
        <v>Rural MRSA Central</v>
      </c>
      <c r="I127" s="45">
        <f>INDEX(FeeCalc!M:M,MATCH(C:C,FeeCalc!F:F,0))</f>
        <v>1684375.5501471725</v>
      </c>
      <c r="J127" s="45">
        <f>INDEX(FeeCalc!L:L,MATCH(C:C,FeeCalc!F:F,0))</f>
        <v>1198235.1846228584</v>
      </c>
      <c r="K127" s="45">
        <f t="shared" si="35"/>
        <v>2882610.7347700307</v>
      </c>
      <c r="L127" s="45">
        <f>IFERROR(IFERROR(INDEX('2023 IP UPL Data'!N:N,MATCH(A:A,'2023 IP UPL Data'!B:B,0)),INDEX('2023 IMD UPL Data'!M:M,MATCH(A:A,'2023 IMD UPL Data'!B:B,0))),0)</f>
        <v>-43817.070343969623</v>
      </c>
      <c r="M127" s="45">
        <f>IFERROR((IF(F127="IMD",0,INDEX('2023 OP UPL Data'!M:M,MATCH(A:A,'2023 OP UPL Data'!B:B,0)))),0)</f>
        <v>-241638.26195266272</v>
      </c>
      <c r="N127" s="45">
        <f t="shared" si="36"/>
        <v>-285455.33229663235</v>
      </c>
      <c r="O127" s="45">
        <v>385308.15965175023</v>
      </c>
      <c r="P127" s="45">
        <v>842512.65369604039</v>
      </c>
      <c r="Q127" s="45">
        <f t="shared" si="37"/>
        <v>1227820.8133477906</v>
      </c>
      <c r="R127" s="45" t="str">
        <f t="shared" si="38"/>
        <v>Yes</v>
      </c>
      <c r="S127" s="46" t="str">
        <f t="shared" si="38"/>
        <v>Yes</v>
      </c>
      <c r="T127" s="47">
        <f>ROUND(INDEX(Summary!H:H,MATCH(H:H,Summary!A:A,0)),2)</f>
        <v>0</v>
      </c>
      <c r="U127" s="47">
        <f>ROUND(INDEX(Summary!I:I,MATCH(H:H,Summary!A:A,0)),2)</f>
        <v>0.17</v>
      </c>
      <c r="V127" s="85">
        <f t="shared" si="39"/>
        <v>0</v>
      </c>
      <c r="W127" s="85">
        <f t="shared" si="39"/>
        <v>203699.98138588594</v>
      </c>
      <c r="X127" s="45">
        <f t="shared" si="40"/>
        <v>203699.98138588594</v>
      </c>
      <c r="Y127" s="45" t="s">
        <v>3223</v>
      </c>
      <c r="Z127" s="45" t="str">
        <f t="shared" si="41"/>
        <v>No</v>
      </c>
      <c r="AA127" s="45" t="str">
        <f t="shared" si="41"/>
        <v>Yes</v>
      </c>
      <c r="AB127" s="45" t="str">
        <f t="shared" si="42"/>
        <v>Yes</v>
      </c>
      <c r="AC127" s="86">
        <f t="shared" si="55"/>
        <v>0.16</v>
      </c>
      <c r="AD127" s="86">
        <f t="shared" si="56"/>
        <v>0.37</v>
      </c>
      <c r="AE127" s="45">
        <f t="shared" si="57"/>
        <v>269500.08802354761</v>
      </c>
      <c r="AF127" s="45">
        <f t="shared" si="57"/>
        <v>443347.01831045758</v>
      </c>
      <c r="AG127" s="45">
        <f t="shared" si="43"/>
        <v>712847.10633400525</v>
      </c>
      <c r="AH127" s="47">
        <f>IF(Y127="No",0,IFERROR(ROUNDDOWN(INDEX('90% of ACR'!K:K,MATCH(H:H,'90% of ACR'!A:A,0))*IF(I127&gt;0,IF(O127&gt;0,$R$4*MAX(O127-V127,0),0),0)/I127,2),0))</f>
        <v>0</v>
      </c>
      <c r="AI127" s="86">
        <f>IF(Y127="No",0,IFERROR(ROUNDDOWN(INDEX('90% of ACR'!R:R,MATCH(H:H,'90% of ACR'!A:A,0))*IF(J127&gt;0,IF(P127&gt;0,$R$4*MAX(P127-W127,0),0),0)/J127,2),0))</f>
        <v>0.37</v>
      </c>
      <c r="AJ127" s="45">
        <f t="shared" si="44"/>
        <v>0</v>
      </c>
      <c r="AK127" s="45">
        <f t="shared" si="44"/>
        <v>443347.01831045758</v>
      </c>
      <c r="AL127" s="47">
        <f t="shared" si="45"/>
        <v>0</v>
      </c>
      <c r="AM127" s="47">
        <f t="shared" si="45"/>
        <v>0.54</v>
      </c>
      <c r="AN127" s="87">
        <f>IFERROR(INDEX(FeeCalc!P:P,MATCH(C127,FeeCalc!F:F,0)),0)</f>
        <v>647046.99969634356</v>
      </c>
      <c r="AO127" s="87">
        <f>IFERROR(INDEX(FeeCalc!S:S,MATCH(C127,FeeCalc!F:F,0)),0)</f>
        <v>40004.17808513507</v>
      </c>
      <c r="AP127" s="87">
        <f t="shared" si="46"/>
        <v>687051.17778147862</v>
      </c>
      <c r="AQ127" s="72">
        <f t="shared" si="47"/>
        <v>291537.80037037045</v>
      </c>
      <c r="AR127" s="72">
        <f t="shared" si="48"/>
        <v>145768.90018518522</v>
      </c>
      <c r="AS127" s="72">
        <f t="shared" si="49"/>
        <v>145768.90018518522</v>
      </c>
      <c r="AT127" s="72">
        <f>IFERROR(IFERROR(INDEX('2023 IP UPL Data'!L:L,MATCH(A:A,'2023 IP UPL Data'!B:B,0)),INDEX('2023 IMD UPL Data'!I:I,MATCH(A:A,'2023 IMD UPL Data'!B:B,0))),0)</f>
        <v>1637365.8503439697</v>
      </c>
      <c r="AU127" s="72">
        <f>IFERROR(IF(F125="IMD",0,INDEX('2023 OP UPL Data'!J:J,MATCH(A:A,'2023 OP UPL Data'!B:B,0))),0)</f>
        <v>399282.39195266273</v>
      </c>
      <c r="AV127" s="45">
        <f t="shared" si="50"/>
        <v>2036648.2422966324</v>
      </c>
      <c r="AW127" s="72">
        <f>IFERROR(IFERROR(INDEX('2023 IP UPL Data'!M:M,MATCH(A:A,'2023 IP UPL Data'!B:B,0)),INDEX('2023 IMD UPL Data'!K:K,MATCH(A:A,'2023 IMD UPL Data'!B:B,0))),0)</f>
        <v>1593548.78</v>
      </c>
      <c r="AX127" s="72">
        <f>IFERROR(IF(F125="IMD",0,INDEX('2023 OP UPL Data'!L:L,MATCH(A:A,'2023 OP UPL Data'!B:B,0))),0)</f>
        <v>157644.13</v>
      </c>
      <c r="AY127" s="45">
        <f t="shared" si="51"/>
        <v>1751192.9100000001</v>
      </c>
      <c r="AZ127" s="72">
        <v>2022674.0099957199</v>
      </c>
      <c r="BA127" s="72">
        <v>1241795.0456487031</v>
      </c>
      <c r="BB127" s="72">
        <f t="shared" si="52"/>
        <v>2022674.0099957199</v>
      </c>
      <c r="BC127" s="72">
        <f t="shared" si="52"/>
        <v>1038095.0642628171</v>
      </c>
      <c r="BD127" s="72">
        <f t="shared" si="53"/>
        <v>3060769.074258537</v>
      </c>
      <c r="BE127" s="94">
        <f t="shared" si="54"/>
        <v>429125.22999571986</v>
      </c>
      <c r="BF127" s="94">
        <f t="shared" si="54"/>
        <v>1084150.915648703</v>
      </c>
      <c r="BG127" s="73">
        <f>IFERROR(INDEX('2023 IP UPL Data'!K:K,MATCH(A127,'2023 IP UPL Data'!B:B,0)),0)</f>
        <v>0</v>
      </c>
    </row>
    <row r="128" spans="1:59">
      <c r="A128" s="124" t="s">
        <v>895</v>
      </c>
      <c r="B128" s="149" t="s">
        <v>895</v>
      </c>
      <c r="C128" s="208" t="s">
        <v>896</v>
      </c>
      <c r="D128" s="181" t="s">
        <v>3589</v>
      </c>
      <c r="E128" s="144" t="s">
        <v>2997</v>
      </c>
      <c r="F128" s="120" t="s">
        <v>2768</v>
      </c>
      <c r="G128" s="120" t="s">
        <v>227</v>
      </c>
      <c r="H128" s="43" t="str">
        <f t="shared" si="34"/>
        <v>Rural MRSA West</v>
      </c>
      <c r="I128" s="45">
        <f>INDEX(FeeCalc!M:M,MATCH(C:C,FeeCalc!F:F,0))</f>
        <v>1580957.6546821061</v>
      </c>
      <c r="J128" s="45">
        <f>INDEX(FeeCalc!L:L,MATCH(C:C,FeeCalc!F:F,0))</f>
        <v>941702.5195414531</v>
      </c>
      <c r="K128" s="45">
        <f t="shared" si="35"/>
        <v>2522660.174223559</v>
      </c>
      <c r="L128" s="45">
        <f>IFERROR(IFERROR(INDEX('2023 IP UPL Data'!N:N,MATCH(A:A,'2023 IP UPL Data'!B:B,0)),INDEX('2023 IMD UPL Data'!M:M,MATCH(A:A,'2023 IMD UPL Data'!B:B,0))),0)</f>
        <v>-302651.14825736568</v>
      </c>
      <c r="M128" s="45">
        <f>IFERROR((IF(F128="IMD",0,INDEX('2023 OP UPL Data'!M:M,MATCH(A:A,'2023 OP UPL Data'!B:B,0)))),0)</f>
        <v>1852.9632500000298</v>
      </c>
      <c r="N128" s="45">
        <f t="shared" si="36"/>
        <v>-300798.18500736565</v>
      </c>
      <c r="O128" s="45">
        <v>-11316.053611986223</v>
      </c>
      <c r="P128" s="45">
        <v>846528.19002597942</v>
      </c>
      <c r="Q128" s="45">
        <f t="shared" si="37"/>
        <v>835212.1364139932</v>
      </c>
      <c r="R128" s="45" t="str">
        <f t="shared" si="38"/>
        <v>No</v>
      </c>
      <c r="S128" s="46" t="str">
        <f t="shared" si="38"/>
        <v>Yes</v>
      </c>
      <c r="T128" s="47">
        <f>ROUND(INDEX(Summary!H:H,MATCH(H:H,Summary!A:A,0)),2)</f>
        <v>0</v>
      </c>
      <c r="U128" s="47">
        <f>ROUND(INDEX(Summary!I:I,MATCH(H:H,Summary!A:A,0)),2)</f>
        <v>0.28999999999999998</v>
      </c>
      <c r="V128" s="85">
        <f t="shared" si="39"/>
        <v>0</v>
      </c>
      <c r="W128" s="85">
        <f t="shared" si="39"/>
        <v>273093.73066702136</v>
      </c>
      <c r="X128" s="45">
        <f t="shared" si="40"/>
        <v>273093.73066702136</v>
      </c>
      <c r="Y128" s="45" t="s">
        <v>3223</v>
      </c>
      <c r="Z128" s="45" t="str">
        <f t="shared" si="41"/>
        <v>No</v>
      </c>
      <c r="AA128" s="45" t="str">
        <f t="shared" si="41"/>
        <v>Yes</v>
      </c>
      <c r="AB128" s="45" t="str">
        <f t="shared" si="42"/>
        <v>Yes</v>
      </c>
      <c r="AC128" s="86">
        <f t="shared" si="55"/>
        <v>0</v>
      </c>
      <c r="AD128" s="86">
        <f t="shared" si="56"/>
        <v>0.42</v>
      </c>
      <c r="AE128" s="45">
        <f t="shared" si="57"/>
        <v>0</v>
      </c>
      <c r="AF128" s="45">
        <f t="shared" si="57"/>
        <v>395515.05820741027</v>
      </c>
      <c r="AG128" s="45">
        <f t="shared" si="43"/>
        <v>395515.05820741027</v>
      </c>
      <c r="AH128" s="47">
        <f>IF(Y128="No",0,IFERROR(ROUNDDOWN(INDEX('90% of ACR'!K:K,MATCH(H:H,'90% of ACR'!A:A,0))*IF(I128&gt;0,IF(O128&gt;0,$R$4*MAX(O128-V128,0),0),0)/I128,2),0))</f>
        <v>0</v>
      </c>
      <c r="AI128" s="86">
        <f>IF(Y128="No",0,IFERROR(ROUNDDOWN(INDEX('90% of ACR'!R:R,MATCH(H:H,'90% of ACR'!A:A,0))*IF(J128&gt;0,IF(P128&gt;0,$R$4*MAX(P128-W128,0),0),0)/J128,2),0))</f>
        <v>0.42</v>
      </c>
      <c r="AJ128" s="45">
        <f t="shared" si="44"/>
        <v>0</v>
      </c>
      <c r="AK128" s="45">
        <f t="shared" si="44"/>
        <v>395515.05820741027</v>
      </c>
      <c r="AL128" s="47">
        <f t="shared" si="45"/>
        <v>0</v>
      </c>
      <c r="AM128" s="47">
        <f t="shared" si="45"/>
        <v>0.71</v>
      </c>
      <c r="AN128" s="87">
        <f>IFERROR(INDEX(FeeCalc!P:P,MATCH(C128,FeeCalc!F:F,0)),0)</f>
        <v>668608.78887443163</v>
      </c>
      <c r="AO128" s="87">
        <f>IFERROR(INDEX(FeeCalc!S:S,MATCH(C128,FeeCalc!F:F,0)),0)</f>
        <v>40920.684290501398</v>
      </c>
      <c r="AP128" s="87">
        <f t="shared" si="46"/>
        <v>709529.47316493304</v>
      </c>
      <c r="AQ128" s="72">
        <f t="shared" si="47"/>
        <v>301076.06040702242</v>
      </c>
      <c r="AR128" s="72">
        <f t="shared" si="48"/>
        <v>150538.03020351121</v>
      </c>
      <c r="AS128" s="72">
        <f t="shared" si="49"/>
        <v>150538.03020351121</v>
      </c>
      <c r="AT128" s="72">
        <f>IFERROR(IFERROR(INDEX('2023 IP UPL Data'!L:L,MATCH(A:A,'2023 IP UPL Data'!B:B,0)),INDEX('2023 IMD UPL Data'!I:I,MATCH(A:A,'2023 IMD UPL Data'!B:B,0))),0)</f>
        <v>798963.51825736568</v>
      </c>
      <c r="AU128" s="72">
        <f>IFERROR(IF(F126="IMD",0,INDEX('2023 OP UPL Data'!J:J,MATCH(A:A,'2023 OP UPL Data'!B:B,0))),0)</f>
        <v>338685.94674999994</v>
      </c>
      <c r="AV128" s="45">
        <f t="shared" si="50"/>
        <v>1137649.4650073657</v>
      </c>
      <c r="AW128" s="72">
        <f>IFERROR(IFERROR(INDEX('2023 IP UPL Data'!M:M,MATCH(A:A,'2023 IP UPL Data'!B:B,0)),INDEX('2023 IMD UPL Data'!K:K,MATCH(A:A,'2023 IMD UPL Data'!B:B,0))),0)</f>
        <v>496312.37</v>
      </c>
      <c r="AX128" s="72">
        <f>IFERROR(IF(F126="IMD",0,INDEX('2023 OP UPL Data'!L:L,MATCH(A:A,'2023 OP UPL Data'!B:B,0))),0)</f>
        <v>340538.91</v>
      </c>
      <c r="AY128" s="45">
        <f t="shared" si="51"/>
        <v>836851.28</v>
      </c>
      <c r="AZ128" s="72">
        <v>787647.46464537946</v>
      </c>
      <c r="BA128" s="72">
        <v>1185214.1367759793</v>
      </c>
      <c r="BB128" s="72">
        <f t="shared" si="52"/>
        <v>787647.46464537946</v>
      </c>
      <c r="BC128" s="72">
        <f t="shared" si="52"/>
        <v>912120.40610895795</v>
      </c>
      <c r="BD128" s="72">
        <f t="shared" si="53"/>
        <v>1699767.8707543374</v>
      </c>
      <c r="BE128" s="94">
        <f t="shared" si="54"/>
        <v>291335.09464537946</v>
      </c>
      <c r="BF128" s="94">
        <f t="shared" si="54"/>
        <v>844675.22677597939</v>
      </c>
      <c r="BG128" s="73">
        <f>IFERROR(INDEX('2023 IP UPL Data'!K:K,MATCH(A128,'2023 IP UPL Data'!B:B,0)),0)</f>
        <v>0</v>
      </c>
    </row>
    <row r="129" spans="1:59">
      <c r="A129" s="124" t="s">
        <v>941</v>
      </c>
      <c r="B129" s="149" t="s">
        <v>941</v>
      </c>
      <c r="C129" s="31" t="s">
        <v>942</v>
      </c>
      <c r="D129" s="181" t="s">
        <v>942</v>
      </c>
      <c r="E129" s="144" t="s">
        <v>2170</v>
      </c>
      <c r="F129" s="120" t="s">
        <v>2768</v>
      </c>
      <c r="G129" s="120" t="s">
        <v>227</v>
      </c>
      <c r="H129" s="43" t="str">
        <f t="shared" si="34"/>
        <v>Rural MRSA West</v>
      </c>
      <c r="I129" s="45">
        <f>INDEX(FeeCalc!M:M,MATCH(C:C,FeeCalc!F:F,0))</f>
        <v>744972.65804303729</v>
      </c>
      <c r="J129" s="45">
        <f>INDEX(FeeCalc!L:L,MATCH(C:C,FeeCalc!F:F,0))</f>
        <v>659520.23884829704</v>
      </c>
      <c r="K129" s="45">
        <f t="shared" si="35"/>
        <v>1404492.8968913343</v>
      </c>
      <c r="L129" s="45">
        <f>IFERROR(IFERROR(INDEX('2023 IP UPL Data'!N:N,MATCH(A:A,'2023 IP UPL Data'!B:B,0)),INDEX('2023 IMD UPL Data'!M:M,MATCH(A:A,'2023 IMD UPL Data'!B:B,0))),0)</f>
        <v>48436.369269586285</v>
      </c>
      <c r="M129" s="45">
        <f>IFERROR((IF(F129="IMD",0,INDEX('2023 OP UPL Data'!M:M,MATCH(A:A,'2023 OP UPL Data'!B:B,0)))),0)</f>
        <v>96571.145750000025</v>
      </c>
      <c r="N129" s="45">
        <f t="shared" si="36"/>
        <v>145007.51501958631</v>
      </c>
      <c r="O129" s="45">
        <v>-98806.00102076272</v>
      </c>
      <c r="P129" s="45">
        <v>229236.6542300994</v>
      </c>
      <c r="Q129" s="45">
        <f t="shared" si="37"/>
        <v>130430.65320933668</v>
      </c>
      <c r="R129" s="45" t="str">
        <f t="shared" si="38"/>
        <v>No</v>
      </c>
      <c r="S129" s="46" t="str">
        <f t="shared" si="38"/>
        <v>Yes</v>
      </c>
      <c r="T129" s="47">
        <f>ROUND(INDEX(Summary!H:H,MATCH(H:H,Summary!A:A,0)),2)</f>
        <v>0</v>
      </c>
      <c r="U129" s="47">
        <f>ROUND(INDEX(Summary!I:I,MATCH(H:H,Summary!A:A,0)),2)</f>
        <v>0.28999999999999998</v>
      </c>
      <c r="V129" s="85">
        <f t="shared" si="39"/>
        <v>0</v>
      </c>
      <c r="W129" s="85">
        <f t="shared" si="39"/>
        <v>191260.86926600614</v>
      </c>
      <c r="X129" s="45">
        <f t="shared" si="40"/>
        <v>191260.86926600614</v>
      </c>
      <c r="Y129" s="45" t="s">
        <v>3223</v>
      </c>
      <c r="Z129" s="45" t="str">
        <f t="shared" si="41"/>
        <v>No</v>
      </c>
      <c r="AA129" s="45" t="str">
        <f t="shared" si="41"/>
        <v>Yes</v>
      </c>
      <c r="AB129" s="45" t="str">
        <f t="shared" si="42"/>
        <v>Yes</v>
      </c>
      <c r="AC129" s="86">
        <f t="shared" si="55"/>
        <v>0</v>
      </c>
      <c r="AD129" s="86">
        <f t="shared" si="56"/>
        <v>0.04</v>
      </c>
      <c r="AE129" s="45">
        <f t="shared" si="57"/>
        <v>0</v>
      </c>
      <c r="AF129" s="45">
        <f t="shared" si="57"/>
        <v>26380.809553931882</v>
      </c>
      <c r="AG129" s="45">
        <f t="shared" si="43"/>
        <v>26380.809553931882</v>
      </c>
      <c r="AH129" s="47">
        <f>IF(Y129="No",0,IFERROR(ROUNDDOWN(INDEX('90% of ACR'!K:K,MATCH(H:H,'90% of ACR'!A:A,0))*IF(I129&gt;0,IF(O129&gt;0,$R$4*MAX(O129-V129,0),0),0)/I129,2),0))</f>
        <v>0</v>
      </c>
      <c r="AI129" s="86">
        <f>IF(Y129="No",0,IFERROR(ROUNDDOWN(INDEX('90% of ACR'!R:R,MATCH(H:H,'90% of ACR'!A:A,0))*IF(J129&gt;0,IF(P129&gt;0,$R$4*MAX(P129-W129,0),0),0)/J129,2),0))</f>
        <v>0.03</v>
      </c>
      <c r="AJ129" s="45">
        <f t="shared" si="44"/>
        <v>0</v>
      </c>
      <c r="AK129" s="45">
        <f t="shared" si="44"/>
        <v>19785.60716544891</v>
      </c>
      <c r="AL129" s="47">
        <f t="shared" si="45"/>
        <v>0</v>
      </c>
      <c r="AM129" s="47">
        <f t="shared" si="45"/>
        <v>0.31999999999999995</v>
      </c>
      <c r="AN129" s="87">
        <f>IFERROR(INDEX(FeeCalc!P:P,MATCH(C129,FeeCalc!F:F,0)),0)</f>
        <v>211046.47643145503</v>
      </c>
      <c r="AO129" s="87">
        <f>IFERROR(INDEX(FeeCalc!S:S,MATCH(C129,FeeCalc!F:F,0)),0)</f>
        <v>12932.79511265474</v>
      </c>
      <c r="AP129" s="87">
        <f t="shared" si="46"/>
        <v>223979.27154410977</v>
      </c>
      <c r="AQ129" s="72">
        <f t="shared" si="47"/>
        <v>95041.5722528552</v>
      </c>
      <c r="AR129" s="72">
        <f t="shared" si="48"/>
        <v>47520.7861264276</v>
      </c>
      <c r="AS129" s="72">
        <f t="shared" si="49"/>
        <v>47520.7861264276</v>
      </c>
      <c r="AT129" s="72">
        <f>IFERROR(IFERROR(INDEX('2023 IP UPL Data'!L:L,MATCH(A:A,'2023 IP UPL Data'!B:B,0)),INDEX('2023 IMD UPL Data'!I:I,MATCH(A:A,'2023 IMD UPL Data'!B:B,0))),0)</f>
        <v>599204.45073041366</v>
      </c>
      <c r="AU129" s="72">
        <f>IFERROR(IF(F127="IMD",0,INDEX('2023 OP UPL Data'!J:J,MATCH(A:A,'2023 OP UPL Data'!B:B,0))),0)</f>
        <v>154225.28424999997</v>
      </c>
      <c r="AV129" s="45">
        <f t="shared" si="50"/>
        <v>753429.73498041369</v>
      </c>
      <c r="AW129" s="72">
        <f>IFERROR(IFERROR(INDEX('2023 IP UPL Data'!M:M,MATCH(A:A,'2023 IP UPL Data'!B:B,0)),INDEX('2023 IMD UPL Data'!K:K,MATCH(A:A,'2023 IMD UPL Data'!B:B,0))),0)</f>
        <v>647640.81999999995</v>
      </c>
      <c r="AX129" s="72">
        <f>IFERROR(IF(F127="IMD",0,INDEX('2023 OP UPL Data'!L:L,MATCH(A:A,'2023 OP UPL Data'!B:B,0))),0)</f>
        <v>250796.43</v>
      </c>
      <c r="AY129" s="45">
        <f t="shared" si="51"/>
        <v>898437.25</v>
      </c>
      <c r="AZ129" s="72">
        <v>500398.44970965094</v>
      </c>
      <c r="BA129" s="72">
        <v>383461.93848009937</v>
      </c>
      <c r="BB129" s="72">
        <f t="shared" si="52"/>
        <v>500398.44970965094</v>
      </c>
      <c r="BC129" s="72">
        <f t="shared" si="52"/>
        <v>192201.06921409324</v>
      </c>
      <c r="BD129" s="72">
        <f t="shared" si="53"/>
        <v>692599.51892374409</v>
      </c>
      <c r="BE129" s="94">
        <f t="shared" si="54"/>
        <v>0</v>
      </c>
      <c r="BF129" s="94">
        <f t="shared" si="54"/>
        <v>132665.50848009938</v>
      </c>
      <c r="BG129" s="73">
        <f>IFERROR(INDEX('2023 IP UPL Data'!K:K,MATCH(A129,'2023 IP UPL Data'!B:B,0)),0)</f>
        <v>0</v>
      </c>
    </row>
    <row r="130" spans="1:59">
      <c r="A130" s="124" t="s">
        <v>668</v>
      </c>
      <c r="B130" s="149" t="s">
        <v>668</v>
      </c>
      <c r="C130" s="31" t="s">
        <v>669</v>
      </c>
      <c r="D130" s="181" t="s">
        <v>669</v>
      </c>
      <c r="E130" s="144" t="s">
        <v>3315</v>
      </c>
      <c r="F130" s="120" t="s">
        <v>2768</v>
      </c>
      <c r="G130" s="120" t="s">
        <v>227</v>
      </c>
      <c r="H130" s="43" t="str">
        <f t="shared" si="34"/>
        <v>Rural MRSA West</v>
      </c>
      <c r="I130" s="45">
        <f>INDEX(FeeCalc!M:M,MATCH(C:C,FeeCalc!F:F,0))</f>
        <v>451690.53442951257</v>
      </c>
      <c r="J130" s="45">
        <f>INDEX(FeeCalc!L:L,MATCH(C:C,FeeCalc!F:F,0))</f>
        <v>981959.46036586026</v>
      </c>
      <c r="K130" s="45">
        <f t="shared" si="35"/>
        <v>1433649.9947953727</v>
      </c>
      <c r="L130" s="45">
        <f>IFERROR(IFERROR(INDEX('2023 IP UPL Data'!N:N,MATCH(A:A,'2023 IP UPL Data'!B:B,0)),INDEX('2023 IMD UPL Data'!M:M,MATCH(A:A,'2023 IMD UPL Data'!B:B,0))),0)</f>
        <v>377166.15235785849</v>
      </c>
      <c r="M130" s="45">
        <f>IFERROR((IF(F130="IMD",0,INDEX('2023 OP UPL Data'!M:M,MATCH(A:A,'2023 OP UPL Data'!B:B,0)))),0)</f>
        <v>209402.85325000016</v>
      </c>
      <c r="N130" s="45">
        <f t="shared" si="36"/>
        <v>586569.00560785865</v>
      </c>
      <c r="O130" s="45">
        <v>-54096.174868130329</v>
      </c>
      <c r="P130" s="45">
        <v>433008.45936975698</v>
      </c>
      <c r="Q130" s="45">
        <f t="shared" si="37"/>
        <v>378912.28450162662</v>
      </c>
      <c r="R130" s="45" t="str">
        <f t="shared" si="38"/>
        <v>No</v>
      </c>
      <c r="S130" s="46" t="str">
        <f t="shared" si="38"/>
        <v>Yes</v>
      </c>
      <c r="T130" s="47">
        <f>ROUND(INDEX(Summary!H:H,MATCH(H:H,Summary!A:A,0)),2)</f>
        <v>0</v>
      </c>
      <c r="U130" s="47">
        <f>ROUND(INDEX(Summary!I:I,MATCH(H:H,Summary!A:A,0)),2)</f>
        <v>0.28999999999999998</v>
      </c>
      <c r="V130" s="85">
        <f t="shared" si="39"/>
        <v>0</v>
      </c>
      <c r="W130" s="85">
        <f t="shared" si="39"/>
        <v>284768.24350609945</v>
      </c>
      <c r="X130" s="45">
        <f t="shared" si="40"/>
        <v>284768.24350609945</v>
      </c>
      <c r="Y130" s="45" t="s">
        <v>3223</v>
      </c>
      <c r="Z130" s="45" t="str">
        <f t="shared" si="41"/>
        <v>No</v>
      </c>
      <c r="AA130" s="45" t="str">
        <f t="shared" si="41"/>
        <v>Yes</v>
      </c>
      <c r="AB130" s="45" t="str">
        <f t="shared" si="42"/>
        <v>Yes</v>
      </c>
      <c r="AC130" s="86">
        <f t="shared" si="55"/>
        <v>0</v>
      </c>
      <c r="AD130" s="86">
        <f t="shared" si="56"/>
        <v>0.11</v>
      </c>
      <c r="AE130" s="45">
        <f t="shared" si="57"/>
        <v>0</v>
      </c>
      <c r="AF130" s="45">
        <f t="shared" si="57"/>
        <v>108015.54064024462</v>
      </c>
      <c r="AG130" s="45">
        <f t="shared" si="43"/>
        <v>108015.54064024462</v>
      </c>
      <c r="AH130" s="47">
        <f>IF(Y130="No",0,IFERROR(ROUNDDOWN(INDEX('90% of ACR'!K:K,MATCH(H:H,'90% of ACR'!A:A,0))*IF(I130&gt;0,IF(O130&gt;0,$R$4*MAX(O130-V130,0),0),0)/I130,2),0))</f>
        <v>0</v>
      </c>
      <c r="AI130" s="86">
        <f>IF(Y130="No",0,IFERROR(ROUNDDOWN(INDEX('90% of ACR'!R:R,MATCH(H:H,'90% of ACR'!A:A,0))*IF(J130&gt;0,IF(P130&gt;0,$R$4*MAX(P130-W130,0),0),0)/J130,2),0))</f>
        <v>0.1</v>
      </c>
      <c r="AJ130" s="45">
        <f t="shared" si="44"/>
        <v>0</v>
      </c>
      <c r="AK130" s="45">
        <f t="shared" si="44"/>
        <v>98195.946036586029</v>
      </c>
      <c r="AL130" s="47">
        <f t="shared" si="45"/>
        <v>0</v>
      </c>
      <c r="AM130" s="47">
        <f t="shared" si="45"/>
        <v>0.39</v>
      </c>
      <c r="AN130" s="87">
        <f>IFERROR(INDEX(FeeCalc!P:P,MATCH(C130,FeeCalc!F:F,0)),0)</f>
        <v>382964.18954268552</v>
      </c>
      <c r="AO130" s="87">
        <f>IFERROR(INDEX(FeeCalc!S:S,MATCH(C130,FeeCalc!F:F,0)),0)</f>
        <v>23478.239962891676</v>
      </c>
      <c r="AP130" s="87">
        <f t="shared" si="46"/>
        <v>406442.42950557719</v>
      </c>
      <c r="AQ130" s="72">
        <f t="shared" si="47"/>
        <v>172466.52899696061</v>
      </c>
      <c r="AR130" s="72">
        <f t="shared" si="48"/>
        <v>86233.264498480305</v>
      </c>
      <c r="AS130" s="72">
        <f t="shared" si="49"/>
        <v>86233.264498480305</v>
      </c>
      <c r="AT130" s="72">
        <f>IFERROR(IFERROR(INDEX('2023 IP UPL Data'!L:L,MATCH(A:A,'2023 IP UPL Data'!B:B,0)),INDEX('2023 IMD UPL Data'!I:I,MATCH(A:A,'2023 IMD UPL Data'!B:B,0))),0)</f>
        <v>304051.26764214155</v>
      </c>
      <c r="AU130" s="72">
        <f>IFERROR(IF(F128="IMD",0,INDEX('2023 OP UPL Data'!J:J,MATCH(A:A,'2023 OP UPL Data'!B:B,0))),0)</f>
        <v>548218.19674999989</v>
      </c>
      <c r="AV130" s="45">
        <f t="shared" si="50"/>
        <v>852269.46439214144</v>
      </c>
      <c r="AW130" s="72">
        <f>IFERROR(IFERROR(INDEX('2023 IP UPL Data'!M:M,MATCH(A:A,'2023 IP UPL Data'!B:B,0)),INDEX('2023 IMD UPL Data'!K:K,MATCH(A:A,'2023 IMD UPL Data'!B:B,0))),0)</f>
        <v>681217.42</v>
      </c>
      <c r="AX130" s="72">
        <f>IFERROR(IF(F128="IMD",0,INDEX('2023 OP UPL Data'!L:L,MATCH(A:A,'2023 OP UPL Data'!B:B,0))),0)</f>
        <v>757621.05</v>
      </c>
      <c r="AY130" s="45">
        <f t="shared" si="51"/>
        <v>1438838.4700000002</v>
      </c>
      <c r="AZ130" s="72">
        <v>249955.09277401122</v>
      </c>
      <c r="BA130" s="72">
        <v>981226.65611975687</v>
      </c>
      <c r="BB130" s="72">
        <f t="shared" si="52"/>
        <v>249955.09277401122</v>
      </c>
      <c r="BC130" s="72">
        <f t="shared" si="52"/>
        <v>696458.41261365742</v>
      </c>
      <c r="BD130" s="72">
        <f t="shared" si="53"/>
        <v>946413.50538766861</v>
      </c>
      <c r="BE130" s="94">
        <f t="shared" si="54"/>
        <v>0</v>
      </c>
      <c r="BF130" s="94">
        <f t="shared" si="54"/>
        <v>223605.60611975682</v>
      </c>
      <c r="BG130" s="73">
        <f>IFERROR(INDEX('2023 IP UPL Data'!K:K,MATCH(A130,'2023 IP UPL Data'!B:B,0)),0)</f>
        <v>0</v>
      </c>
    </row>
    <row r="131" spans="1:59">
      <c r="A131" s="124" t="s">
        <v>822</v>
      </c>
      <c r="B131" s="149" t="s">
        <v>822</v>
      </c>
      <c r="C131" s="31" t="s">
        <v>823</v>
      </c>
      <c r="D131" s="181" t="s">
        <v>823</v>
      </c>
      <c r="E131" s="144" t="s">
        <v>3343</v>
      </c>
      <c r="F131" s="120" t="s">
        <v>2768</v>
      </c>
      <c r="G131" s="120" t="s">
        <v>300</v>
      </c>
      <c r="H131" s="43" t="str">
        <f t="shared" si="34"/>
        <v>Rural Harris</v>
      </c>
      <c r="I131" s="45">
        <f>INDEX(FeeCalc!M:M,MATCH(C:C,FeeCalc!F:F,0))</f>
        <v>2197193.9313321472</v>
      </c>
      <c r="J131" s="45">
        <f>INDEX(FeeCalc!L:L,MATCH(C:C,FeeCalc!F:F,0))</f>
        <v>2056098.9798407422</v>
      </c>
      <c r="K131" s="45">
        <f t="shared" si="35"/>
        <v>4253292.9111728892</v>
      </c>
      <c r="L131" s="45">
        <f>IFERROR(IFERROR(INDEX('2023 IP UPL Data'!N:N,MATCH(A:A,'2023 IP UPL Data'!B:B,0)),INDEX('2023 IMD UPL Data'!M:M,MATCH(A:A,'2023 IMD UPL Data'!B:B,0))),0)</f>
        <v>-385844.87597692059</v>
      </c>
      <c r="M131" s="45">
        <f>IFERROR((IF(F131="IMD",0,INDEX('2023 OP UPL Data'!M:M,MATCH(A:A,'2023 OP UPL Data'!B:B,0)))),0)</f>
        <v>2300588.3817054266</v>
      </c>
      <c r="N131" s="45">
        <f t="shared" si="36"/>
        <v>1914743.505728506</v>
      </c>
      <c r="O131" s="45">
        <v>-863943.54146332806</v>
      </c>
      <c r="P131" s="45">
        <v>2879919.1836045827</v>
      </c>
      <c r="Q131" s="45">
        <f t="shared" si="37"/>
        <v>2015975.6421412546</v>
      </c>
      <c r="R131" s="45" t="str">
        <f t="shared" si="38"/>
        <v>No</v>
      </c>
      <c r="S131" s="46" t="str">
        <f t="shared" si="38"/>
        <v>Yes</v>
      </c>
      <c r="T131" s="47">
        <f>ROUND(INDEX(Summary!H:H,MATCH(H:H,Summary!A:A,0)),2)</f>
        <v>0</v>
      </c>
      <c r="U131" s="47">
        <f>ROUND(INDEX(Summary!I:I,MATCH(H:H,Summary!A:A,0)),2)</f>
        <v>0.86</v>
      </c>
      <c r="V131" s="85">
        <f t="shared" si="39"/>
        <v>0</v>
      </c>
      <c r="W131" s="85">
        <f t="shared" si="39"/>
        <v>1768245.1226630383</v>
      </c>
      <c r="X131" s="45">
        <f t="shared" si="40"/>
        <v>1768245.1226630383</v>
      </c>
      <c r="Y131" s="45" t="s">
        <v>3223</v>
      </c>
      <c r="Z131" s="45" t="str">
        <f t="shared" si="41"/>
        <v>No</v>
      </c>
      <c r="AA131" s="45" t="str">
        <f t="shared" si="41"/>
        <v>No</v>
      </c>
      <c r="AB131" s="45" t="str">
        <f t="shared" si="42"/>
        <v>Yes</v>
      </c>
      <c r="AC131" s="86">
        <f t="shared" si="55"/>
        <v>0</v>
      </c>
      <c r="AD131" s="86">
        <f t="shared" si="56"/>
        <v>0.38</v>
      </c>
      <c r="AE131" s="45">
        <f t="shared" si="57"/>
        <v>0</v>
      </c>
      <c r="AF131" s="45">
        <f t="shared" si="57"/>
        <v>781317.61233948206</v>
      </c>
      <c r="AG131" s="45">
        <f t="shared" si="43"/>
        <v>781317.61233948206</v>
      </c>
      <c r="AH131" s="47">
        <f>IF(Y131="No",0,IFERROR(ROUNDDOWN(INDEX('90% of ACR'!K:K,MATCH(H:H,'90% of ACR'!A:A,0))*IF(I131&gt;0,IF(O131&gt;0,$R$4*MAX(O131-V131,0),0),0)/I131,2),0))</f>
        <v>0</v>
      </c>
      <c r="AI131" s="86">
        <f>IF(Y131="No",0,IFERROR(ROUNDDOWN(INDEX('90% of ACR'!R:R,MATCH(H:H,'90% of ACR'!A:A,0))*IF(J131&gt;0,IF(P131&gt;0,$R$4*MAX(P131-W131,0),0),0)/J131,2),0))</f>
        <v>0</v>
      </c>
      <c r="AJ131" s="45">
        <f t="shared" si="44"/>
        <v>0</v>
      </c>
      <c r="AK131" s="45">
        <f t="shared" si="44"/>
        <v>0</v>
      </c>
      <c r="AL131" s="47">
        <f t="shared" si="45"/>
        <v>0</v>
      </c>
      <c r="AM131" s="47">
        <f t="shared" si="45"/>
        <v>0.86</v>
      </c>
      <c r="AN131" s="87">
        <f>IFERROR(INDEX(FeeCalc!P:P,MATCH(C131,FeeCalc!F:F,0)),0)</f>
        <v>1768245.1226630383</v>
      </c>
      <c r="AO131" s="87">
        <f>IFERROR(INDEX(FeeCalc!S:S,MATCH(C131,FeeCalc!F:F,0)),0)</f>
        <v>108942.67065256517</v>
      </c>
      <c r="AP131" s="87">
        <f t="shared" si="46"/>
        <v>1877187.7933156034</v>
      </c>
      <c r="AQ131" s="72">
        <f t="shared" si="47"/>
        <v>796550.85071319679</v>
      </c>
      <c r="AR131" s="72">
        <f t="shared" si="48"/>
        <v>398275.4253565984</v>
      </c>
      <c r="AS131" s="72">
        <f t="shared" si="49"/>
        <v>398275.4253565984</v>
      </c>
      <c r="AT131" s="72">
        <f>IFERROR(IFERROR(INDEX('2023 IP UPL Data'!L:L,MATCH(A:A,'2023 IP UPL Data'!B:B,0)),INDEX('2023 IMD UPL Data'!I:I,MATCH(A:A,'2023 IMD UPL Data'!B:B,0))),0)</f>
        <v>3034622.6859769206</v>
      </c>
      <c r="AU131" s="72">
        <f>IFERROR(IF(F129="IMD",0,INDEX('2023 OP UPL Data'!J:J,MATCH(A:A,'2023 OP UPL Data'!B:B,0))),0)</f>
        <v>1259164.5782945734</v>
      </c>
      <c r="AV131" s="45">
        <f t="shared" si="50"/>
        <v>4293787.264271494</v>
      </c>
      <c r="AW131" s="72">
        <f>IFERROR(IFERROR(INDEX('2023 IP UPL Data'!M:M,MATCH(A:A,'2023 IP UPL Data'!B:B,0)),INDEX('2023 IMD UPL Data'!K:K,MATCH(A:A,'2023 IMD UPL Data'!B:B,0))),0)</f>
        <v>2648777.81</v>
      </c>
      <c r="AX131" s="72">
        <f>IFERROR(IF(F129="IMD",0,INDEX('2023 OP UPL Data'!L:L,MATCH(A:A,'2023 OP UPL Data'!B:B,0))),0)</f>
        <v>3559752.96</v>
      </c>
      <c r="AY131" s="45">
        <f t="shared" si="51"/>
        <v>6208530.7699999996</v>
      </c>
      <c r="AZ131" s="72">
        <v>2170679.1445135926</v>
      </c>
      <c r="BA131" s="72">
        <v>4139083.761899156</v>
      </c>
      <c r="BB131" s="72">
        <f t="shared" si="52"/>
        <v>2170679.1445135926</v>
      </c>
      <c r="BC131" s="72">
        <f t="shared" si="52"/>
        <v>2370838.6392361177</v>
      </c>
      <c r="BD131" s="72">
        <f t="shared" si="53"/>
        <v>4541517.7837497108</v>
      </c>
      <c r="BE131" s="94">
        <f t="shared" si="54"/>
        <v>0</v>
      </c>
      <c r="BF131" s="94">
        <f t="shared" si="54"/>
        <v>579330.80189915607</v>
      </c>
      <c r="BG131" s="73">
        <f>IFERROR(INDEX('2023 IP UPL Data'!K:K,MATCH(A131,'2023 IP UPL Data'!B:B,0)),0)</f>
        <v>0</v>
      </c>
    </row>
    <row r="132" spans="1:59">
      <c r="A132" s="124" t="s">
        <v>94</v>
      </c>
      <c r="B132" s="149" t="s">
        <v>94</v>
      </c>
      <c r="C132" s="31" t="s">
        <v>95</v>
      </c>
      <c r="D132" s="181" t="s">
        <v>95</v>
      </c>
      <c r="E132" s="144" t="s">
        <v>3493</v>
      </c>
      <c r="F132" s="120" t="s">
        <v>2718</v>
      </c>
      <c r="G132" s="120" t="s">
        <v>1366</v>
      </c>
      <c r="H132" s="43" t="str">
        <f t="shared" si="34"/>
        <v>Urban Tarrant</v>
      </c>
      <c r="I132" s="45">
        <f>INDEX(FeeCalc!M:M,MATCH(C:C,FeeCalc!F:F,0))</f>
        <v>0</v>
      </c>
      <c r="J132" s="45">
        <f>INDEX(FeeCalc!L:L,MATCH(C:C,FeeCalc!F:F,0))</f>
        <v>96205.205468299813</v>
      </c>
      <c r="K132" s="45">
        <f t="shared" si="35"/>
        <v>96205.205468299813</v>
      </c>
      <c r="L132" s="45">
        <f>IFERROR(IFERROR(INDEX('2023 IP UPL Data'!N:N,MATCH(A:A,'2023 IP UPL Data'!B:B,0)),INDEX('2023 IMD UPL Data'!M:M,MATCH(A:A,'2023 IMD UPL Data'!B:B,0))),0)</f>
        <v>22349.860240963855</v>
      </c>
      <c r="M132" s="45">
        <f>IFERROR((IF(F132="IMD",0,INDEX('2023 OP UPL Data'!M:M,MATCH(A:A,'2023 OP UPL Data'!B:B,0)))),0)</f>
        <v>1063089.9878313253</v>
      </c>
      <c r="N132" s="45">
        <f t="shared" si="36"/>
        <v>1085439.848072289</v>
      </c>
      <c r="O132" s="45">
        <v>44564.12298424061</v>
      </c>
      <c r="P132" s="45">
        <v>2858937.4979166975</v>
      </c>
      <c r="Q132" s="45">
        <f t="shared" si="37"/>
        <v>2903501.6209009383</v>
      </c>
      <c r="R132" s="45" t="str">
        <f t="shared" si="38"/>
        <v>Yes</v>
      </c>
      <c r="S132" s="46" t="str">
        <f t="shared" si="38"/>
        <v>Yes</v>
      </c>
      <c r="T132" s="47">
        <f>ROUND(INDEX(Summary!H:H,MATCH(H:H,Summary!A:A,0)),2)</f>
        <v>1.68</v>
      </c>
      <c r="U132" s="47">
        <f>ROUND(INDEX(Summary!I:I,MATCH(H:H,Summary!A:A,0)),2)</f>
        <v>1.42</v>
      </c>
      <c r="V132" s="85">
        <f t="shared" si="39"/>
        <v>0</v>
      </c>
      <c r="W132" s="85">
        <f t="shared" si="39"/>
        <v>136611.39176498572</v>
      </c>
      <c r="X132" s="45">
        <f t="shared" si="40"/>
        <v>136611.39176498572</v>
      </c>
      <c r="Y132" s="45" t="s">
        <v>3223</v>
      </c>
      <c r="Z132" s="45" t="str">
        <f t="shared" si="41"/>
        <v>No</v>
      </c>
      <c r="AA132" s="45" t="str">
        <f t="shared" si="41"/>
        <v>Yes</v>
      </c>
      <c r="AB132" s="45" t="str">
        <f t="shared" si="42"/>
        <v>Yes</v>
      </c>
      <c r="AC132" s="86">
        <f t="shared" si="55"/>
        <v>0</v>
      </c>
      <c r="AD132" s="86">
        <f t="shared" si="56"/>
        <v>19.71</v>
      </c>
      <c r="AE132" s="45">
        <f t="shared" si="57"/>
        <v>0</v>
      </c>
      <c r="AF132" s="45">
        <f t="shared" si="57"/>
        <v>1896204.5997801893</v>
      </c>
      <c r="AG132" s="45">
        <f t="shared" si="43"/>
        <v>1896204.5997801893</v>
      </c>
      <c r="AH132" s="47">
        <f>IF(Y132="No",0,IFERROR(ROUNDDOWN(INDEX('90% of ACR'!K:K,MATCH(H:H,'90% of ACR'!A:A,0))*IF(I132&gt;0,IF(O132&gt;0,$R$4*MAX(O132-V132,0),0),0)/I132,2),0))</f>
        <v>0</v>
      </c>
      <c r="AI132" s="86">
        <f>IF(Y132="No",0,IFERROR(ROUNDDOWN(INDEX('90% of ACR'!R:R,MATCH(H:H,'90% of ACR'!A:A,0))*IF(J132&gt;0,IF(P132&gt;0,$R$4*MAX(P132-W132,0),0),0)/J132,2),0))</f>
        <v>16.07</v>
      </c>
      <c r="AJ132" s="45">
        <f t="shared" si="44"/>
        <v>0</v>
      </c>
      <c r="AK132" s="45">
        <f t="shared" si="44"/>
        <v>1546017.6518755781</v>
      </c>
      <c r="AL132" s="47">
        <f t="shared" si="45"/>
        <v>1.68</v>
      </c>
      <c r="AM132" s="47">
        <f t="shared" si="45"/>
        <v>17.490000000000002</v>
      </c>
      <c r="AN132" s="87">
        <f>IFERROR(INDEX(FeeCalc!P:P,MATCH(C132,FeeCalc!F:F,0)),0)</f>
        <v>1682629.043640564</v>
      </c>
      <c r="AO132" s="87">
        <f>IFERROR(INDEX(FeeCalc!S:S,MATCH(C132,FeeCalc!F:F,0)),0)</f>
        <v>102653.76128311132</v>
      </c>
      <c r="AP132" s="87">
        <f t="shared" si="46"/>
        <v>1785282.8049236753</v>
      </c>
      <c r="AQ132" s="72">
        <f t="shared" si="47"/>
        <v>757552.62317887298</v>
      </c>
      <c r="AR132" s="72">
        <f t="shared" si="48"/>
        <v>378776.31158943649</v>
      </c>
      <c r="AS132" s="72">
        <f t="shared" si="49"/>
        <v>378776.31158943649</v>
      </c>
      <c r="AT132" s="72">
        <f>IFERROR(IFERROR(INDEX('2023 IP UPL Data'!L:L,MATCH(A:A,'2023 IP UPL Data'!B:B,0)),INDEX('2023 IMD UPL Data'!I:I,MATCH(A:A,'2023 IMD UPL Data'!B:B,0))),0)</f>
        <v>19769.439759036148</v>
      </c>
      <c r="AU132" s="72">
        <f>IFERROR(IF(F130="IMD",0,INDEX('2023 OP UPL Data'!J:J,MATCH(A:A,'2023 OP UPL Data'!B:B,0))),0)</f>
        <v>257608.04216867467</v>
      </c>
      <c r="AV132" s="45">
        <f t="shared" si="50"/>
        <v>277377.48192771082</v>
      </c>
      <c r="AW132" s="72">
        <f>IFERROR(IFERROR(INDEX('2023 IP UPL Data'!M:M,MATCH(A:A,'2023 IP UPL Data'!B:B,0)),INDEX('2023 IMD UPL Data'!K:K,MATCH(A:A,'2023 IMD UPL Data'!B:B,0))),0)</f>
        <v>42119.3</v>
      </c>
      <c r="AX132" s="72">
        <f>IFERROR(IF(F130="IMD",0,INDEX('2023 OP UPL Data'!L:L,MATCH(A:A,'2023 OP UPL Data'!B:B,0))),0)</f>
        <v>1320698.03</v>
      </c>
      <c r="AY132" s="45">
        <f t="shared" si="51"/>
        <v>1362817.33</v>
      </c>
      <c r="AZ132" s="72">
        <v>64333.562743276758</v>
      </c>
      <c r="BA132" s="72">
        <v>3116545.540085372</v>
      </c>
      <c r="BB132" s="72">
        <f t="shared" si="52"/>
        <v>64333.562743276758</v>
      </c>
      <c r="BC132" s="72">
        <f t="shared" si="52"/>
        <v>2979934.1483203862</v>
      </c>
      <c r="BD132" s="72">
        <f t="shared" si="53"/>
        <v>3044267.711063663</v>
      </c>
      <c r="BE132" s="94">
        <f t="shared" si="54"/>
        <v>22214.262743276755</v>
      </c>
      <c r="BF132" s="94">
        <f t="shared" si="54"/>
        <v>1795847.510085372</v>
      </c>
      <c r="BG132" s="73">
        <f>IFERROR(INDEX('2023 IP UPL Data'!K:K,MATCH(A132,'2023 IP UPL Data'!B:B,0)),0)</f>
        <v>0</v>
      </c>
    </row>
    <row r="133" spans="1:59" ht="25.5">
      <c r="A133" s="124" t="s">
        <v>1518</v>
      </c>
      <c r="B133" s="149" t="s">
        <v>1518</v>
      </c>
      <c r="C133" s="31" t="s">
        <v>1519</v>
      </c>
      <c r="D133" s="181" t="s">
        <v>1519</v>
      </c>
      <c r="E133" s="144" t="s">
        <v>3195</v>
      </c>
      <c r="F133" s="120" t="s">
        <v>3069</v>
      </c>
      <c r="G133" s="120" t="s">
        <v>300</v>
      </c>
      <c r="H133" s="43" t="str">
        <f t="shared" si="34"/>
        <v>Non-state-owned IMD Harris</v>
      </c>
      <c r="I133" s="45">
        <f>INDEX(FeeCalc!M:M,MATCH(C:C,FeeCalc!F:F,0))</f>
        <v>939647.19808996655</v>
      </c>
      <c r="J133" s="45">
        <f>INDEX(FeeCalc!L:L,MATCH(C:C,FeeCalc!F:F,0))</f>
        <v>0</v>
      </c>
      <c r="K133" s="45">
        <f t="shared" si="35"/>
        <v>939647.19808996655</v>
      </c>
      <c r="L133" s="45">
        <f>IFERROR(IFERROR(INDEX('2023 IP UPL Data'!N:N,MATCH(A:A,'2023 IP UPL Data'!B:B,0)),INDEX('2023 IMD UPL Data'!M:M,MATCH(A:A,'2023 IMD UPL Data'!B:B,0))),0)</f>
        <v>739831.68</v>
      </c>
      <c r="M133" s="45">
        <f>IFERROR((IF(F133="IMD",0,INDEX('2023 OP UPL Data'!M:M,MATCH(A:A,'2023 OP UPL Data'!B:B,0)))),0)</f>
        <v>0</v>
      </c>
      <c r="N133" s="45">
        <f t="shared" si="36"/>
        <v>739831.68</v>
      </c>
      <c r="O133" s="45">
        <v>533951.68738118664</v>
      </c>
      <c r="P133" s="45">
        <v>0</v>
      </c>
      <c r="Q133" s="45">
        <f t="shared" si="37"/>
        <v>533951.68738118664</v>
      </c>
      <c r="R133" s="45" t="str">
        <f t="shared" si="38"/>
        <v>Yes</v>
      </c>
      <c r="S133" s="46" t="str">
        <f t="shared" si="38"/>
        <v>No</v>
      </c>
      <c r="T133" s="47">
        <f>ROUND(INDEX(Summary!H:H,MATCH(H:H,Summary!A:A,0)),2)</f>
        <v>0.44</v>
      </c>
      <c r="U133" s="47">
        <f>ROUND(INDEX(Summary!I:I,MATCH(H:H,Summary!A:A,0)),2)</f>
        <v>0</v>
      </c>
      <c r="V133" s="85">
        <f t="shared" si="39"/>
        <v>413444.76715958526</v>
      </c>
      <c r="W133" s="85">
        <f t="shared" si="39"/>
        <v>0</v>
      </c>
      <c r="X133" s="45">
        <f t="shared" si="40"/>
        <v>413444.76715958526</v>
      </c>
      <c r="Y133" s="45" t="s">
        <v>3223</v>
      </c>
      <c r="Z133" s="45" t="str">
        <f t="shared" si="41"/>
        <v>No</v>
      </c>
      <c r="AA133" s="45" t="str">
        <f t="shared" si="41"/>
        <v>No</v>
      </c>
      <c r="AB133" s="45" t="str">
        <f t="shared" si="42"/>
        <v>Yes</v>
      </c>
      <c r="AC133" s="86">
        <f t="shared" si="55"/>
        <v>0.09</v>
      </c>
      <c r="AD133" s="86">
        <f t="shared" si="56"/>
        <v>0</v>
      </c>
      <c r="AE133" s="45">
        <f t="shared" si="57"/>
        <v>84568.247828096981</v>
      </c>
      <c r="AF133" s="45">
        <f t="shared" si="57"/>
        <v>0</v>
      </c>
      <c r="AG133" s="45">
        <f t="shared" si="43"/>
        <v>84568.247828096981</v>
      </c>
      <c r="AH133" s="47">
        <f>IF(Y133="No",0,IFERROR(ROUNDDOWN(INDEX('90% of ACR'!K:K,MATCH(H:H,'90% of ACR'!A:A,0))*IF(I133&gt;0,IF(O133&gt;0,$R$4*MAX(O133-V133,0),0),0)/I133,2),0))</f>
        <v>0</v>
      </c>
      <c r="AI133" s="86">
        <f>IF(Y133="No",0,IFERROR(ROUNDDOWN(INDEX('90% of ACR'!R:R,MATCH(H:H,'90% of ACR'!A:A,0))*IF(J133&gt;0,IF(P133&gt;0,$R$4*MAX(P133-W133,0),0),0)/J133,2),0))</f>
        <v>0</v>
      </c>
      <c r="AJ133" s="45">
        <f t="shared" si="44"/>
        <v>0</v>
      </c>
      <c r="AK133" s="45">
        <f t="shared" si="44"/>
        <v>0</v>
      </c>
      <c r="AL133" s="47">
        <f t="shared" si="45"/>
        <v>0.44</v>
      </c>
      <c r="AM133" s="47">
        <f t="shared" si="45"/>
        <v>0</v>
      </c>
      <c r="AN133" s="87">
        <f>IFERROR(INDEX(FeeCalc!P:P,MATCH(C133,FeeCalc!F:F,0)),0)</f>
        <v>413444.76715958526</v>
      </c>
      <c r="AO133" s="87">
        <f>IFERROR(INDEX(FeeCalc!S:S,MATCH(C133,FeeCalc!F:F,0)),0)</f>
        <v>25223.420808144459</v>
      </c>
      <c r="AP133" s="87">
        <f t="shared" si="46"/>
        <v>438668.1879677297</v>
      </c>
      <c r="AQ133" s="72">
        <f t="shared" si="47"/>
        <v>186140.94953672271</v>
      </c>
      <c r="AR133" s="72">
        <f t="shared" si="48"/>
        <v>93070.474768361353</v>
      </c>
      <c r="AS133" s="72">
        <f t="shared" si="49"/>
        <v>93070.474768361353</v>
      </c>
      <c r="AT133" s="72">
        <f>IFERROR(IFERROR(INDEX('2023 IP UPL Data'!L:L,MATCH(A:A,'2023 IP UPL Data'!B:B,0)),INDEX('2023 IMD UPL Data'!I:I,MATCH(A:A,'2023 IMD UPL Data'!B:B,0))),0)</f>
        <v>958646.16</v>
      </c>
      <c r="AU133" s="72">
        <f>IFERROR(IF(F131="IMD",0,INDEX('2023 OP UPL Data'!J:J,MATCH(A:A,'2023 OP UPL Data'!B:B,0))),0)</f>
        <v>0</v>
      </c>
      <c r="AV133" s="45">
        <f t="shared" si="50"/>
        <v>958646.16</v>
      </c>
      <c r="AW133" s="72">
        <f>IFERROR(IFERROR(INDEX('2023 IP UPL Data'!M:M,MATCH(A:A,'2023 IP UPL Data'!B:B,0)),INDEX('2023 IMD UPL Data'!K:K,MATCH(A:A,'2023 IMD UPL Data'!B:B,0))),0)</f>
        <v>739831.68</v>
      </c>
      <c r="AX133" s="72">
        <f>IFERROR(IF(F131="IMD",0,INDEX('2023 OP UPL Data'!L:L,MATCH(A:A,'2023 OP UPL Data'!B:B,0))),0)</f>
        <v>0</v>
      </c>
      <c r="AY133" s="45">
        <f t="shared" si="51"/>
        <v>739831.68</v>
      </c>
      <c r="AZ133" s="72">
        <v>1492597.8473811867</v>
      </c>
      <c r="BA133" s="72">
        <v>0</v>
      </c>
      <c r="BB133" s="72">
        <f t="shared" si="52"/>
        <v>1079153.0802216013</v>
      </c>
      <c r="BC133" s="72">
        <f t="shared" si="52"/>
        <v>0</v>
      </c>
      <c r="BD133" s="72">
        <f t="shared" si="53"/>
        <v>1079153.0802216013</v>
      </c>
      <c r="BE133" s="94">
        <f t="shared" si="54"/>
        <v>752766.16738118662</v>
      </c>
      <c r="BF133" s="94">
        <f t="shared" si="54"/>
        <v>0</v>
      </c>
      <c r="BG133" s="73">
        <f>IFERROR(INDEX('2023 IP UPL Data'!K:K,MATCH(A133,'2023 IP UPL Data'!B:B,0)),0)</f>
        <v>0</v>
      </c>
    </row>
    <row r="134" spans="1:59">
      <c r="A134" s="124" t="s">
        <v>338</v>
      </c>
      <c r="B134" s="149" t="s">
        <v>338</v>
      </c>
      <c r="C134" s="31" t="s">
        <v>339</v>
      </c>
      <c r="D134" s="181" t="s">
        <v>339</v>
      </c>
      <c r="E134" s="144" t="s">
        <v>3136</v>
      </c>
      <c r="F134" s="120" t="s">
        <v>2768</v>
      </c>
      <c r="G134" s="120" t="s">
        <v>227</v>
      </c>
      <c r="H134" s="43" t="str">
        <f t="shared" ref="H134:H197" si="58">CONCATENATE(F134," ",G134)</f>
        <v>Rural MRSA West</v>
      </c>
      <c r="I134" s="45">
        <f>INDEX(FeeCalc!M:M,MATCH(C:C,FeeCalc!F:F,0))</f>
        <v>871609.70244454895</v>
      </c>
      <c r="J134" s="45">
        <f>INDEX(FeeCalc!L:L,MATCH(C:C,FeeCalc!F:F,0))</f>
        <v>0</v>
      </c>
      <c r="K134" s="45">
        <f t="shared" ref="K134:K197" si="59">I134+J134</f>
        <v>871609.70244454895</v>
      </c>
      <c r="L134" s="45">
        <f>IFERROR(IFERROR(INDEX('2023 IP UPL Data'!N:N,MATCH(A:A,'2023 IP UPL Data'!B:B,0)),INDEX('2023 IMD UPL Data'!M:M,MATCH(A:A,'2023 IMD UPL Data'!B:B,0))),0)</f>
        <v>-62419.769152022869</v>
      </c>
      <c r="M134" s="45">
        <f>IFERROR((IF(F134="IMD",0,INDEX('2023 OP UPL Data'!M:M,MATCH(A:A,'2023 OP UPL Data'!B:B,0)))),0)</f>
        <v>99789.369319727935</v>
      </c>
      <c r="N134" s="45">
        <f t="shared" ref="N134:N197" si="60">+L134+M134</f>
        <v>37369.600167705066</v>
      </c>
      <c r="O134" s="45">
        <v>-106087.70476605551</v>
      </c>
      <c r="P134" s="45">
        <v>133616.29383236205</v>
      </c>
      <c r="Q134" s="45">
        <f t="shared" ref="Q134:Q197" si="61">O134+P134</f>
        <v>27528.589066306537</v>
      </c>
      <c r="R134" s="45" t="str">
        <f t="shared" ref="R134:S197" si="62">IF(O134&gt;0,"Yes","No")</f>
        <v>No</v>
      </c>
      <c r="S134" s="46" t="str">
        <f t="shared" si="62"/>
        <v>Yes</v>
      </c>
      <c r="T134" s="47">
        <f>ROUND(INDEX(Summary!H:H,MATCH(H:H,Summary!A:A,0)),2)</f>
        <v>0</v>
      </c>
      <c r="U134" s="47">
        <f>ROUND(INDEX(Summary!I:I,MATCH(H:H,Summary!A:A,0)),2)</f>
        <v>0.28999999999999998</v>
      </c>
      <c r="V134" s="85">
        <f t="shared" ref="V134:W197" si="63">+T134*I134</f>
        <v>0</v>
      </c>
      <c r="W134" s="85">
        <f t="shared" si="63"/>
        <v>0</v>
      </c>
      <c r="X134" s="45">
        <f t="shared" ref="X134:X197" si="64">+V134+W134</f>
        <v>0</v>
      </c>
      <c r="Y134" s="45" t="s">
        <v>3223</v>
      </c>
      <c r="Z134" s="45" t="str">
        <f t="shared" ref="Z134:AA197" si="65">IF(AJ134&gt;0,"Yes","No")</f>
        <v>No</v>
      </c>
      <c r="AA134" s="45" t="str">
        <f t="shared" si="65"/>
        <v>No</v>
      </c>
      <c r="AB134" s="45" t="str">
        <f t="shared" ref="AB134:AB197" si="66">IF(AG134&gt;0,"Yes","No")</f>
        <v>No</v>
      </c>
      <c r="AC134" s="86">
        <f t="shared" si="55"/>
        <v>0</v>
      </c>
      <c r="AD134" s="86">
        <f t="shared" si="56"/>
        <v>0</v>
      </c>
      <c r="AE134" s="45">
        <f t="shared" si="57"/>
        <v>0</v>
      </c>
      <c r="AF134" s="45">
        <f t="shared" si="57"/>
        <v>0</v>
      </c>
      <c r="AG134" s="45">
        <f t="shared" ref="AG134:AG197" si="67">AE134+AF134</f>
        <v>0</v>
      </c>
      <c r="AH134" s="47">
        <f>IF(Y134="No",0,IFERROR(ROUNDDOWN(INDEX('90% of ACR'!K:K,MATCH(H:H,'90% of ACR'!A:A,0))*IF(I134&gt;0,IF(O134&gt;0,$R$4*MAX(O134-V134,0),0),0)/I134,2),0))</f>
        <v>0</v>
      </c>
      <c r="AI134" s="86">
        <f>IF(Y134="No",0,IFERROR(ROUNDDOWN(INDEX('90% of ACR'!R:R,MATCH(H:H,'90% of ACR'!A:A,0))*IF(J134&gt;0,IF(P134&gt;0,$R$4*MAX(P134-W134,0),0),0)/J134,2),0))</f>
        <v>0</v>
      </c>
      <c r="AJ134" s="45">
        <f t="shared" ref="AJ134:AK197" si="68">I134*AH134</f>
        <v>0</v>
      </c>
      <c r="AK134" s="45">
        <f t="shared" si="68"/>
        <v>0</v>
      </c>
      <c r="AL134" s="47">
        <f t="shared" ref="AL134:AM197" si="69">T134+AH134</f>
        <v>0</v>
      </c>
      <c r="AM134" s="47">
        <f t="shared" si="69"/>
        <v>0.28999999999999998</v>
      </c>
      <c r="AN134" s="87">
        <f>IFERROR(INDEX(FeeCalc!P:P,MATCH(C134,FeeCalc!F:F,0)),0)</f>
        <v>0</v>
      </c>
      <c r="AO134" s="87">
        <f>IFERROR(INDEX(FeeCalc!S:S,MATCH(C134,FeeCalc!F:F,0)),0)</f>
        <v>0</v>
      </c>
      <c r="AP134" s="87">
        <f t="shared" ref="AP134:AP197" si="70">AN134+AO134</f>
        <v>0</v>
      </c>
      <c r="AQ134" s="72">
        <f t="shared" ref="AQ134:AQ197" si="71">$AQ$3*AP134*1.08</f>
        <v>0</v>
      </c>
      <c r="AR134" s="72">
        <f t="shared" ref="AR134:AR197" si="72">AQ134*0.5</f>
        <v>0</v>
      </c>
      <c r="AS134" s="72">
        <f t="shared" ref="AS134:AS197" si="73">AR134</f>
        <v>0</v>
      </c>
      <c r="AT134" s="72">
        <f>IFERROR(IFERROR(INDEX('2023 IP UPL Data'!L:L,MATCH(A:A,'2023 IP UPL Data'!B:B,0)),INDEX('2023 IMD UPL Data'!I:I,MATCH(A:A,'2023 IMD UPL Data'!B:B,0))),0)</f>
        <v>235837.56915202286</v>
      </c>
      <c r="AU134" s="72">
        <f>IFERROR(IF(F132="IMD",0,INDEX('2023 OP UPL Data'!J:J,MATCH(A:A,'2023 OP UPL Data'!B:B,0))),0)</f>
        <v>214530.06068027206</v>
      </c>
      <c r="AV134" s="45">
        <f t="shared" ref="AV134:AV197" si="74">AT134+AU134</f>
        <v>450367.62983229489</v>
      </c>
      <c r="AW134" s="72">
        <f>IFERROR(IFERROR(INDEX('2023 IP UPL Data'!M:M,MATCH(A:A,'2023 IP UPL Data'!B:B,0)),INDEX('2023 IMD UPL Data'!K:K,MATCH(A:A,'2023 IMD UPL Data'!B:B,0))),0)</f>
        <v>173417.8</v>
      </c>
      <c r="AX134" s="72">
        <f>IFERROR(IF(F132="IMD",0,INDEX('2023 OP UPL Data'!L:L,MATCH(A:A,'2023 OP UPL Data'!B:B,0))),0)</f>
        <v>314319.43</v>
      </c>
      <c r="AY134" s="45">
        <f t="shared" ref="AY134:AY197" si="75">AW134+AX134</f>
        <v>487737.23</v>
      </c>
      <c r="AZ134" s="72">
        <v>129749.86438596735</v>
      </c>
      <c r="BA134" s="72">
        <v>348146.35451263411</v>
      </c>
      <c r="BB134" s="72">
        <f t="shared" ref="BB134:BC197" si="76">IF(AZ134&gt;V134,AZ134-V134,0)</f>
        <v>129749.86438596735</v>
      </c>
      <c r="BC134" s="72">
        <f t="shared" si="76"/>
        <v>348146.35451263411</v>
      </c>
      <c r="BD134" s="72">
        <f t="shared" ref="BD134:BD197" si="77">IF(AZ134+BA134&gt;X134,AZ134+BA134-X134,0)</f>
        <v>477896.21889860148</v>
      </c>
      <c r="BE134" s="94">
        <f t="shared" ref="BE134:BF197" si="78">IF(AZ134&gt;AW134,AZ134-AW134,0)</f>
        <v>0</v>
      </c>
      <c r="BF134" s="94">
        <f t="shared" si="78"/>
        <v>33826.924512634112</v>
      </c>
      <c r="BG134" s="73">
        <f>IFERROR(INDEX('2023 IP UPL Data'!K:K,MATCH(A134,'2023 IP UPL Data'!B:B,0)),0)</f>
        <v>0</v>
      </c>
    </row>
    <row r="135" spans="1:59">
      <c r="A135" s="124" t="s">
        <v>16</v>
      </c>
      <c r="B135" s="149" t="s">
        <v>16</v>
      </c>
      <c r="C135" s="31" t="s">
        <v>17</v>
      </c>
      <c r="D135" s="181" t="s">
        <v>17</v>
      </c>
      <c r="E135" s="144" t="s">
        <v>3494</v>
      </c>
      <c r="F135" s="120" t="s">
        <v>2718</v>
      </c>
      <c r="G135" s="120" t="s">
        <v>310</v>
      </c>
      <c r="H135" s="43" t="str">
        <f t="shared" si="58"/>
        <v>Urban MRSA Northeast</v>
      </c>
      <c r="I135" s="45">
        <f>INDEX(FeeCalc!M:M,MATCH(C:C,FeeCalc!F:F,0))</f>
        <v>2475983.6939437999</v>
      </c>
      <c r="J135" s="45">
        <f>INDEX(FeeCalc!L:L,MATCH(C:C,FeeCalc!F:F,0))</f>
        <v>2766365.2288909797</v>
      </c>
      <c r="K135" s="45">
        <f t="shared" si="59"/>
        <v>5242348.9228347801</v>
      </c>
      <c r="L135" s="45">
        <f>IFERROR(IFERROR(INDEX('2023 IP UPL Data'!N:N,MATCH(A:A,'2023 IP UPL Data'!B:B,0)),INDEX('2023 IMD UPL Data'!M:M,MATCH(A:A,'2023 IMD UPL Data'!B:B,0))),0)</f>
        <v>3741872.8489130433</v>
      </c>
      <c r="M135" s="45">
        <f>IFERROR((IF(F135="IMD",0,INDEX('2023 OP UPL Data'!M:M,MATCH(A:A,'2023 OP UPL Data'!B:B,0)))),0)</f>
        <v>3909827.28673913</v>
      </c>
      <c r="N135" s="45">
        <f t="shared" si="60"/>
        <v>7651700.1356521733</v>
      </c>
      <c r="O135" s="45">
        <v>8400160.0760232322</v>
      </c>
      <c r="P135" s="45">
        <v>8696170.6626371238</v>
      </c>
      <c r="Q135" s="45">
        <f t="shared" si="61"/>
        <v>17096330.738660358</v>
      </c>
      <c r="R135" s="45" t="str">
        <f t="shared" si="62"/>
        <v>Yes</v>
      </c>
      <c r="S135" s="46" t="str">
        <f t="shared" si="62"/>
        <v>Yes</v>
      </c>
      <c r="T135" s="47">
        <f>ROUND(INDEX(Summary!H:H,MATCH(H:H,Summary!A:A,0)),2)</f>
        <v>0.79</v>
      </c>
      <c r="U135" s="47">
        <f>ROUND(INDEX(Summary!I:I,MATCH(H:H,Summary!A:A,0)),2)</f>
        <v>1.2</v>
      </c>
      <c r="V135" s="85">
        <f t="shared" si="63"/>
        <v>1956027.1182156021</v>
      </c>
      <c r="W135" s="85">
        <f t="shared" si="63"/>
        <v>3319638.2746691755</v>
      </c>
      <c r="X135" s="45">
        <f t="shared" si="64"/>
        <v>5275665.3928847779</v>
      </c>
      <c r="Y135" s="45" t="s">
        <v>3223</v>
      </c>
      <c r="Z135" s="45" t="str">
        <f t="shared" si="65"/>
        <v>Yes</v>
      </c>
      <c r="AA135" s="45" t="str">
        <f t="shared" si="65"/>
        <v>Yes</v>
      </c>
      <c r="AB135" s="45" t="str">
        <f t="shared" si="66"/>
        <v>Yes</v>
      </c>
      <c r="AC135" s="86">
        <f t="shared" ref="AC135:AC198" si="79">IF(Y135="No",0,IFERROR(ROUND(IF(I135&gt;0,IF(O135&gt;0,$R$4*MAX(O135-V135,0),0),0)/I135,2),0))</f>
        <v>1.81</v>
      </c>
      <c r="AD135" s="86">
        <f t="shared" ref="AD135:AD198" si="80">IF(Y135="No",0,IFERROR(ROUND(IF(J135&gt;0,IF(P135&gt;0,$R$4*MAX(P135-W135,0),0),0)/J135,2),0))</f>
        <v>1.35</v>
      </c>
      <c r="AE135" s="45">
        <f t="shared" ref="AE135:AF198" si="81">AC135*I135</f>
        <v>4481530.4860382779</v>
      </c>
      <c r="AF135" s="45">
        <f t="shared" si="81"/>
        <v>3734593.0590028227</v>
      </c>
      <c r="AG135" s="45">
        <f t="shared" si="67"/>
        <v>8216123.5450411011</v>
      </c>
      <c r="AH135" s="47">
        <f>IF(Y135="No",0,IFERROR(ROUNDDOWN(INDEX('90% of ACR'!K:K,MATCH(H:H,'90% of ACR'!A:A,0))*IF(I135&gt;0,IF(O135&gt;0,$R$4*MAX(O135-V135,0),0),0)/I135,2),0))</f>
        <v>1.81</v>
      </c>
      <c r="AI135" s="86">
        <f>IF(Y135="No",0,IFERROR(ROUNDDOWN(INDEX('90% of ACR'!R:R,MATCH(H:H,'90% of ACR'!A:A,0))*IF(J135&gt;0,IF(P135&gt;0,$R$4*MAX(P135-W135,0),0),0)/J135,2),0))</f>
        <v>1.35</v>
      </c>
      <c r="AJ135" s="45">
        <f t="shared" si="68"/>
        <v>4481530.4860382779</v>
      </c>
      <c r="AK135" s="45">
        <f t="shared" si="68"/>
        <v>3734593.0590028227</v>
      </c>
      <c r="AL135" s="47">
        <f t="shared" si="69"/>
        <v>2.6</v>
      </c>
      <c r="AM135" s="47">
        <f t="shared" si="69"/>
        <v>2.5499999999999998</v>
      </c>
      <c r="AN135" s="87">
        <f>IFERROR(INDEX(FeeCalc!P:P,MATCH(C135,FeeCalc!F:F,0)),0)</f>
        <v>13491788.937925877</v>
      </c>
      <c r="AO135" s="87">
        <f>IFERROR(INDEX(FeeCalc!S:S,MATCH(C135,FeeCalc!F:F,0)),0)</f>
        <v>837854.65789222438</v>
      </c>
      <c r="AP135" s="87">
        <f t="shared" si="70"/>
        <v>14329643.595818102</v>
      </c>
      <c r="AQ135" s="72">
        <f t="shared" si="71"/>
        <v>6080526.3263006881</v>
      </c>
      <c r="AR135" s="72">
        <f t="shared" si="72"/>
        <v>3040263.163150344</v>
      </c>
      <c r="AS135" s="72">
        <f t="shared" si="73"/>
        <v>3040263.163150344</v>
      </c>
      <c r="AT135" s="72">
        <f>IFERROR(IFERROR(INDEX('2023 IP UPL Data'!L:L,MATCH(A:A,'2023 IP UPL Data'!B:B,0)),INDEX('2023 IMD UPL Data'!I:I,MATCH(A:A,'2023 IMD UPL Data'!B:B,0))),0)</f>
        <v>2455704.4510869565</v>
      </c>
      <c r="AU135" s="72">
        <f>IFERROR(IF(F133="IMD",0,INDEX('2023 OP UPL Data'!J:J,MATCH(A:A,'2023 OP UPL Data'!B:B,0))),0)</f>
        <v>1084430.1032608696</v>
      </c>
      <c r="AV135" s="45">
        <f t="shared" si="74"/>
        <v>3540134.5543478262</v>
      </c>
      <c r="AW135" s="72">
        <f>IFERROR(IFERROR(INDEX('2023 IP UPL Data'!M:M,MATCH(A:A,'2023 IP UPL Data'!B:B,0)),INDEX('2023 IMD UPL Data'!K:K,MATCH(A:A,'2023 IMD UPL Data'!B:B,0))),0)</f>
        <v>6197577.2999999998</v>
      </c>
      <c r="AX135" s="72">
        <f>IFERROR(IF(F133="IMD",0,INDEX('2023 OP UPL Data'!L:L,MATCH(A:A,'2023 OP UPL Data'!B:B,0))),0)</f>
        <v>4994257.3899999997</v>
      </c>
      <c r="AY135" s="45">
        <f t="shared" si="75"/>
        <v>11191834.689999999</v>
      </c>
      <c r="AZ135" s="72">
        <v>10855864.527110189</v>
      </c>
      <c r="BA135" s="72">
        <v>9780600.765897993</v>
      </c>
      <c r="BB135" s="72">
        <f t="shared" si="76"/>
        <v>8899837.4088945873</v>
      </c>
      <c r="BC135" s="72">
        <f t="shared" si="76"/>
        <v>6460962.491228817</v>
      </c>
      <c r="BD135" s="72">
        <f t="shared" si="77"/>
        <v>15360799.900123404</v>
      </c>
      <c r="BE135" s="94">
        <f t="shared" si="78"/>
        <v>4658287.2271101894</v>
      </c>
      <c r="BF135" s="94">
        <f t="shared" si="78"/>
        <v>4786343.3758979933</v>
      </c>
      <c r="BG135" s="73">
        <f>IFERROR(INDEX('2023 IP UPL Data'!K:K,MATCH(A135,'2023 IP UPL Data'!B:B,0)),0)</f>
        <v>0</v>
      </c>
    </row>
    <row r="136" spans="1:59">
      <c r="A136" s="124" t="s">
        <v>49</v>
      </c>
      <c r="B136" s="149" t="s">
        <v>49</v>
      </c>
      <c r="C136" s="31" t="s">
        <v>50</v>
      </c>
      <c r="D136" s="181" t="s">
        <v>50</v>
      </c>
      <c r="E136" s="144" t="s">
        <v>3495</v>
      </c>
      <c r="F136" s="120" t="s">
        <v>2768</v>
      </c>
      <c r="G136" s="120" t="s">
        <v>310</v>
      </c>
      <c r="H136" s="43" t="str">
        <f t="shared" si="58"/>
        <v>Rural MRSA Northeast</v>
      </c>
      <c r="I136" s="45">
        <f>INDEX(FeeCalc!M:M,MATCH(C:C,FeeCalc!F:F,0))</f>
        <v>300368.9332889659</v>
      </c>
      <c r="J136" s="45">
        <f>INDEX(FeeCalc!L:L,MATCH(C:C,FeeCalc!F:F,0))</f>
        <v>1053575.1827252943</v>
      </c>
      <c r="K136" s="45">
        <f t="shared" si="59"/>
        <v>1353944.1160142601</v>
      </c>
      <c r="L136" s="45">
        <f>IFERROR(IFERROR(INDEX('2023 IP UPL Data'!N:N,MATCH(A:A,'2023 IP UPL Data'!B:B,0)),INDEX('2023 IMD UPL Data'!M:M,MATCH(A:A,'2023 IMD UPL Data'!B:B,0))),0)</f>
        <v>-96741.038035671925</v>
      </c>
      <c r="M136" s="45">
        <f>IFERROR((IF(F136="IMD",0,INDEX('2023 OP UPL Data'!M:M,MATCH(A:A,'2023 OP UPL Data'!B:B,0)))),0)</f>
        <v>443179.93213836476</v>
      </c>
      <c r="N136" s="45">
        <f t="shared" si="60"/>
        <v>346438.89410269284</v>
      </c>
      <c r="O136" s="45">
        <v>152346.09094777209</v>
      </c>
      <c r="P136" s="45">
        <v>1679296.1290496816</v>
      </c>
      <c r="Q136" s="45">
        <f t="shared" si="61"/>
        <v>1831642.2199974537</v>
      </c>
      <c r="R136" s="45" t="str">
        <f t="shared" si="62"/>
        <v>Yes</v>
      </c>
      <c r="S136" s="46" t="str">
        <f t="shared" si="62"/>
        <v>Yes</v>
      </c>
      <c r="T136" s="47">
        <f>ROUND(INDEX(Summary!H:H,MATCH(H:H,Summary!A:A,0)),2)</f>
        <v>0.16</v>
      </c>
      <c r="U136" s="47">
        <f>ROUND(INDEX(Summary!I:I,MATCH(H:H,Summary!A:A,0)),2)</f>
        <v>0.42</v>
      </c>
      <c r="V136" s="85">
        <f t="shared" si="63"/>
        <v>48059.029326234544</v>
      </c>
      <c r="W136" s="85">
        <f t="shared" si="63"/>
        <v>442501.5767446236</v>
      </c>
      <c r="X136" s="45">
        <f t="shared" si="64"/>
        <v>490560.60607085814</v>
      </c>
      <c r="Y136" s="45" t="s">
        <v>3223</v>
      </c>
      <c r="Z136" s="45" t="str">
        <f t="shared" si="65"/>
        <v>Yes</v>
      </c>
      <c r="AA136" s="45" t="str">
        <f t="shared" si="65"/>
        <v>Yes</v>
      </c>
      <c r="AB136" s="45" t="str">
        <f t="shared" si="66"/>
        <v>Yes</v>
      </c>
      <c r="AC136" s="86">
        <f t="shared" si="79"/>
        <v>0.24</v>
      </c>
      <c r="AD136" s="86">
        <f t="shared" si="80"/>
        <v>0.82</v>
      </c>
      <c r="AE136" s="45">
        <f t="shared" si="81"/>
        <v>72088.54398935182</v>
      </c>
      <c r="AF136" s="45">
        <f t="shared" si="81"/>
        <v>863931.64983474126</v>
      </c>
      <c r="AG136" s="45">
        <f t="shared" si="67"/>
        <v>936020.19382409309</v>
      </c>
      <c r="AH136" s="47">
        <f>IF(Y136="No",0,IFERROR(ROUNDDOWN(INDEX('90% of ACR'!K:K,MATCH(H:H,'90% of ACR'!A:A,0))*IF(I136&gt;0,IF(O136&gt;0,$R$4*MAX(O136-V136,0),0),0)/I136,2),0))</f>
        <v>0.11</v>
      </c>
      <c r="AI136" s="86">
        <f>IF(Y136="No",0,IFERROR(ROUNDDOWN(INDEX('90% of ACR'!R:R,MATCH(H:H,'90% of ACR'!A:A,0))*IF(J136&gt;0,IF(P136&gt;0,$R$4*MAX(P136-W136,0),0),0)/J136,2),0))</f>
        <v>0.81</v>
      </c>
      <c r="AJ136" s="45">
        <f t="shared" si="68"/>
        <v>33040.582661786248</v>
      </c>
      <c r="AK136" s="45">
        <f t="shared" si="68"/>
        <v>853395.89800748846</v>
      </c>
      <c r="AL136" s="47">
        <f t="shared" si="69"/>
        <v>0.27</v>
      </c>
      <c r="AM136" s="47">
        <f t="shared" si="69"/>
        <v>1.23</v>
      </c>
      <c r="AN136" s="87">
        <f>IFERROR(INDEX(FeeCalc!P:P,MATCH(C136,FeeCalc!F:F,0)),0)</f>
        <v>1376997.0867401327</v>
      </c>
      <c r="AO136" s="87">
        <f>IFERROR(INDEX(FeeCalc!S:S,MATCH(C136,FeeCalc!F:F,0)),0)</f>
        <v>85473.081277860008</v>
      </c>
      <c r="AP136" s="87">
        <f t="shared" si="70"/>
        <v>1462470.1680179927</v>
      </c>
      <c r="AQ136" s="72">
        <f t="shared" si="71"/>
        <v>620572.891335411</v>
      </c>
      <c r="AR136" s="72">
        <f t="shared" si="72"/>
        <v>310286.4456677055</v>
      </c>
      <c r="AS136" s="72">
        <f t="shared" si="73"/>
        <v>310286.4456677055</v>
      </c>
      <c r="AT136" s="72">
        <f>IFERROR(IFERROR(INDEX('2023 IP UPL Data'!L:L,MATCH(A:A,'2023 IP UPL Data'!B:B,0)),INDEX('2023 IMD UPL Data'!I:I,MATCH(A:A,'2023 IMD UPL Data'!B:B,0))),0)</f>
        <v>281178.46803567192</v>
      </c>
      <c r="AU136" s="72">
        <f>IFERROR(IF(F134="IMD",0,INDEX('2023 OP UPL Data'!J:J,MATCH(A:A,'2023 OP UPL Data'!B:B,0))),0)</f>
        <v>261824.65786163521</v>
      </c>
      <c r="AV136" s="45">
        <f t="shared" si="74"/>
        <v>543003.12589730718</v>
      </c>
      <c r="AW136" s="72">
        <f>IFERROR(IFERROR(INDEX('2023 IP UPL Data'!M:M,MATCH(A:A,'2023 IP UPL Data'!B:B,0)),INDEX('2023 IMD UPL Data'!K:K,MATCH(A:A,'2023 IMD UPL Data'!B:B,0))),0)</f>
        <v>184437.43</v>
      </c>
      <c r="AX136" s="72">
        <f>IFERROR(IF(F134="IMD",0,INDEX('2023 OP UPL Data'!L:L,MATCH(A:A,'2023 OP UPL Data'!B:B,0))),0)</f>
        <v>705004.59</v>
      </c>
      <c r="AY136" s="45">
        <f t="shared" si="75"/>
        <v>889442.02</v>
      </c>
      <c r="AZ136" s="72">
        <v>433524.558983444</v>
      </c>
      <c r="BA136" s="72">
        <v>1941120.7869113169</v>
      </c>
      <c r="BB136" s="72">
        <f t="shared" si="76"/>
        <v>385465.52965720947</v>
      </c>
      <c r="BC136" s="72">
        <f t="shared" si="76"/>
        <v>1498619.2101666932</v>
      </c>
      <c r="BD136" s="72">
        <f t="shared" si="77"/>
        <v>1884084.7398239027</v>
      </c>
      <c r="BE136" s="94">
        <f t="shared" si="78"/>
        <v>249087.12898344401</v>
      </c>
      <c r="BF136" s="94">
        <f t="shared" si="78"/>
        <v>1236116.1969113168</v>
      </c>
      <c r="BG136" s="73">
        <f>IFERROR(INDEX('2023 IP UPL Data'!K:K,MATCH(A136,'2023 IP UPL Data'!B:B,0)),0)</f>
        <v>0</v>
      </c>
    </row>
    <row r="137" spans="1:59">
      <c r="A137" s="124" t="s">
        <v>347</v>
      </c>
      <c r="B137" s="149" t="s">
        <v>347</v>
      </c>
      <c r="C137" s="31" t="s">
        <v>348</v>
      </c>
      <c r="D137" s="181" t="s">
        <v>348</v>
      </c>
      <c r="E137" s="144" t="s">
        <v>3106</v>
      </c>
      <c r="F137" s="120" t="s">
        <v>2768</v>
      </c>
      <c r="G137" s="120" t="s">
        <v>227</v>
      </c>
      <c r="H137" s="43" t="str">
        <f t="shared" si="58"/>
        <v>Rural MRSA West</v>
      </c>
      <c r="I137" s="45">
        <f>INDEX(FeeCalc!M:M,MATCH(C:C,FeeCalc!F:F,0))</f>
        <v>162740.84994166697</v>
      </c>
      <c r="J137" s="45">
        <f>INDEX(FeeCalc!L:L,MATCH(C:C,FeeCalc!F:F,0))</f>
        <v>61301.584143753491</v>
      </c>
      <c r="K137" s="45">
        <f t="shared" si="59"/>
        <v>224042.43408542045</v>
      </c>
      <c r="L137" s="45">
        <f>IFERROR(IFERROR(INDEX('2023 IP UPL Data'!N:N,MATCH(A:A,'2023 IP UPL Data'!B:B,0)),INDEX('2023 IMD UPL Data'!M:M,MATCH(A:A,'2023 IMD UPL Data'!B:B,0))),0)</f>
        <v>6222.0218685412128</v>
      </c>
      <c r="M137" s="45">
        <f>IFERROR((IF(F137="IMD",0,INDEX('2023 OP UPL Data'!M:M,MATCH(A:A,'2023 OP UPL Data'!B:B,0)))),0)</f>
        <v>198317.59394557824</v>
      </c>
      <c r="N137" s="45">
        <f t="shared" si="60"/>
        <v>204539.61581411946</v>
      </c>
      <c r="O137" s="45">
        <v>7964.7207511720298</v>
      </c>
      <c r="P137" s="45">
        <v>152918.31799482173</v>
      </c>
      <c r="Q137" s="45">
        <f t="shared" si="61"/>
        <v>160883.03874599375</v>
      </c>
      <c r="R137" s="45" t="str">
        <f t="shared" si="62"/>
        <v>Yes</v>
      </c>
      <c r="S137" s="46" t="str">
        <f t="shared" si="62"/>
        <v>Yes</v>
      </c>
      <c r="T137" s="47">
        <f>ROUND(INDEX(Summary!H:H,MATCH(H:H,Summary!A:A,0)),2)</f>
        <v>0</v>
      </c>
      <c r="U137" s="47">
        <f>ROUND(INDEX(Summary!I:I,MATCH(H:H,Summary!A:A,0)),2)</f>
        <v>0.28999999999999998</v>
      </c>
      <c r="V137" s="85">
        <f t="shared" si="63"/>
        <v>0</v>
      </c>
      <c r="W137" s="85">
        <f t="shared" si="63"/>
        <v>17777.459401688509</v>
      </c>
      <c r="X137" s="45">
        <f t="shared" si="64"/>
        <v>17777.459401688509</v>
      </c>
      <c r="Y137" s="45" t="s">
        <v>3223</v>
      </c>
      <c r="Z137" s="45" t="str">
        <f t="shared" si="65"/>
        <v>No</v>
      </c>
      <c r="AA137" s="45" t="str">
        <f t="shared" si="65"/>
        <v>Yes</v>
      </c>
      <c r="AB137" s="45" t="str">
        <f t="shared" si="66"/>
        <v>Yes</v>
      </c>
      <c r="AC137" s="86">
        <f t="shared" si="79"/>
        <v>0.03</v>
      </c>
      <c r="AD137" s="86">
        <f t="shared" si="80"/>
        <v>1.54</v>
      </c>
      <c r="AE137" s="45">
        <f t="shared" si="81"/>
        <v>4882.225498250009</v>
      </c>
      <c r="AF137" s="45">
        <f t="shared" si="81"/>
        <v>94404.439581380371</v>
      </c>
      <c r="AG137" s="45">
        <f t="shared" si="67"/>
        <v>99286.665079630387</v>
      </c>
      <c r="AH137" s="47">
        <f>IF(Y137="No",0,IFERROR(ROUNDDOWN(INDEX('90% of ACR'!K:K,MATCH(H:H,'90% of ACR'!A:A,0))*IF(I137&gt;0,IF(O137&gt;0,$R$4*MAX(O137-V137,0),0),0)/I137,2),0))</f>
        <v>0</v>
      </c>
      <c r="AI137" s="86">
        <f>IF(Y137="No",0,IFERROR(ROUNDDOWN(INDEX('90% of ACR'!R:R,MATCH(H:H,'90% of ACR'!A:A,0))*IF(J137&gt;0,IF(P137&gt;0,$R$4*MAX(P137-W137,0),0),0)/J137,2),0))</f>
        <v>1.52</v>
      </c>
      <c r="AJ137" s="45">
        <f t="shared" si="68"/>
        <v>0</v>
      </c>
      <c r="AK137" s="45">
        <f t="shared" si="68"/>
        <v>93178.407898505306</v>
      </c>
      <c r="AL137" s="47">
        <f t="shared" si="69"/>
        <v>0</v>
      </c>
      <c r="AM137" s="47">
        <f t="shared" si="69"/>
        <v>1.81</v>
      </c>
      <c r="AN137" s="87">
        <f>IFERROR(INDEX(FeeCalc!P:P,MATCH(C137,FeeCalc!F:F,0)),0)</f>
        <v>110955.86730019382</v>
      </c>
      <c r="AO137" s="87">
        <f>IFERROR(INDEX(FeeCalc!S:S,MATCH(C137,FeeCalc!F:F,0)),0)</f>
        <v>6798.5536198589762</v>
      </c>
      <c r="AP137" s="87">
        <f t="shared" si="70"/>
        <v>117754.4209200528</v>
      </c>
      <c r="AQ137" s="72">
        <f t="shared" si="71"/>
        <v>49966.968937847851</v>
      </c>
      <c r="AR137" s="72">
        <f t="shared" si="72"/>
        <v>24983.484468923925</v>
      </c>
      <c r="AS137" s="72">
        <f t="shared" si="73"/>
        <v>24983.484468923925</v>
      </c>
      <c r="AT137" s="72">
        <f>IFERROR(IFERROR(INDEX('2023 IP UPL Data'!L:L,MATCH(A:A,'2023 IP UPL Data'!B:B,0)),INDEX('2023 IMD UPL Data'!I:I,MATCH(A:A,'2023 IMD UPL Data'!B:B,0))),0)</f>
        <v>6835.4081314587875</v>
      </c>
      <c r="AU137" s="72">
        <f>IFERROR(IF(F135="IMD",0,INDEX('2023 OP UPL Data'!J:J,MATCH(A:A,'2023 OP UPL Data'!B:B,0))),0)</f>
        <v>104942.29605442178</v>
      </c>
      <c r="AV137" s="45">
        <f t="shared" si="74"/>
        <v>111777.70418588056</v>
      </c>
      <c r="AW137" s="72">
        <f>IFERROR(IFERROR(INDEX('2023 IP UPL Data'!M:M,MATCH(A:A,'2023 IP UPL Data'!B:B,0)),INDEX('2023 IMD UPL Data'!K:K,MATCH(A:A,'2023 IMD UPL Data'!B:B,0))),0)</f>
        <v>13057.43</v>
      </c>
      <c r="AX137" s="72">
        <f>IFERROR(IF(F135="IMD",0,INDEX('2023 OP UPL Data'!L:L,MATCH(A:A,'2023 OP UPL Data'!B:B,0))),0)</f>
        <v>303259.89</v>
      </c>
      <c r="AY137" s="45">
        <f t="shared" si="75"/>
        <v>316317.32</v>
      </c>
      <c r="AZ137" s="72">
        <v>14800.128882630817</v>
      </c>
      <c r="BA137" s="72">
        <v>257860.61404924351</v>
      </c>
      <c r="BB137" s="72">
        <f t="shared" si="76"/>
        <v>14800.128882630817</v>
      </c>
      <c r="BC137" s="72">
        <f t="shared" si="76"/>
        <v>240083.154647555</v>
      </c>
      <c r="BD137" s="72">
        <f t="shared" si="77"/>
        <v>254883.28353018584</v>
      </c>
      <c r="BE137" s="94">
        <f t="shared" si="78"/>
        <v>1742.698882630817</v>
      </c>
      <c r="BF137" s="94">
        <f t="shared" si="78"/>
        <v>0</v>
      </c>
      <c r="BG137" s="73">
        <f>IFERROR(INDEX('2023 IP UPL Data'!K:K,MATCH(A137,'2023 IP UPL Data'!B:B,0)),0)</f>
        <v>0</v>
      </c>
    </row>
    <row r="138" spans="1:59">
      <c r="A138" s="124" t="s">
        <v>174</v>
      </c>
      <c r="B138" s="149" t="s">
        <v>174</v>
      </c>
      <c r="C138" s="31" t="s">
        <v>175</v>
      </c>
      <c r="D138" s="181" t="s">
        <v>175</v>
      </c>
      <c r="E138" s="144" t="s">
        <v>3496</v>
      </c>
      <c r="F138" s="120" t="s">
        <v>2768</v>
      </c>
      <c r="G138" s="120" t="s">
        <v>310</v>
      </c>
      <c r="H138" s="43" t="str">
        <f t="shared" si="58"/>
        <v>Rural MRSA Northeast</v>
      </c>
      <c r="I138" s="45">
        <f>INDEX(FeeCalc!M:M,MATCH(C:C,FeeCalc!F:F,0))</f>
        <v>1844309.4238498323</v>
      </c>
      <c r="J138" s="45">
        <f>INDEX(FeeCalc!L:L,MATCH(C:C,FeeCalc!F:F,0))</f>
        <v>2154999.1875565718</v>
      </c>
      <c r="K138" s="45">
        <f t="shared" si="59"/>
        <v>3999308.6114064041</v>
      </c>
      <c r="L138" s="45">
        <f>IFERROR(IFERROR(INDEX('2023 IP UPL Data'!N:N,MATCH(A:A,'2023 IP UPL Data'!B:B,0)),INDEX('2023 IMD UPL Data'!M:M,MATCH(A:A,'2023 IMD UPL Data'!B:B,0))),0)</f>
        <v>-473730.54566599731</v>
      </c>
      <c r="M138" s="45">
        <f>IFERROR((IF(F138="IMD",0,INDEX('2023 OP UPL Data'!M:M,MATCH(A:A,'2023 OP UPL Data'!B:B,0)))),0)</f>
        <v>646659.23383647809</v>
      </c>
      <c r="N138" s="45">
        <f t="shared" si="60"/>
        <v>172928.68817048077</v>
      </c>
      <c r="O138" s="45">
        <v>843404.59051339794</v>
      </c>
      <c r="P138" s="45">
        <v>2566849.5993263107</v>
      </c>
      <c r="Q138" s="45">
        <f t="shared" si="61"/>
        <v>3410254.1898397086</v>
      </c>
      <c r="R138" s="45" t="str">
        <f t="shared" si="62"/>
        <v>Yes</v>
      </c>
      <c r="S138" s="46" t="str">
        <f t="shared" si="62"/>
        <v>Yes</v>
      </c>
      <c r="T138" s="47">
        <f>ROUND(INDEX(Summary!H:H,MATCH(H:H,Summary!A:A,0)),2)</f>
        <v>0.16</v>
      </c>
      <c r="U138" s="47">
        <f>ROUND(INDEX(Summary!I:I,MATCH(H:H,Summary!A:A,0)),2)</f>
        <v>0.42</v>
      </c>
      <c r="V138" s="85">
        <f t="shared" si="63"/>
        <v>295089.50781597319</v>
      </c>
      <c r="W138" s="85">
        <f t="shared" si="63"/>
        <v>905099.65877376008</v>
      </c>
      <c r="X138" s="45">
        <f t="shared" si="64"/>
        <v>1200189.1665897332</v>
      </c>
      <c r="Y138" s="45" t="s">
        <v>3223</v>
      </c>
      <c r="Z138" s="45" t="str">
        <f t="shared" si="65"/>
        <v>Yes</v>
      </c>
      <c r="AA138" s="45" t="str">
        <f t="shared" si="65"/>
        <v>Yes</v>
      </c>
      <c r="AB138" s="45" t="str">
        <f t="shared" si="66"/>
        <v>Yes</v>
      </c>
      <c r="AC138" s="86">
        <f t="shared" si="79"/>
        <v>0.21</v>
      </c>
      <c r="AD138" s="86">
        <f t="shared" si="80"/>
        <v>0.54</v>
      </c>
      <c r="AE138" s="45">
        <f t="shared" si="81"/>
        <v>387304.97900846478</v>
      </c>
      <c r="AF138" s="45">
        <f t="shared" si="81"/>
        <v>1163699.5612805488</v>
      </c>
      <c r="AG138" s="45">
        <f t="shared" si="67"/>
        <v>1551004.5402890136</v>
      </c>
      <c r="AH138" s="47">
        <f>IF(Y138="No",0,IFERROR(ROUNDDOWN(INDEX('90% of ACR'!K:K,MATCH(H:H,'90% of ACR'!A:A,0))*IF(I138&gt;0,IF(O138&gt;0,$R$4*MAX(O138-V138,0),0),0)/I138,2),0))</f>
        <v>0.09</v>
      </c>
      <c r="AI138" s="86">
        <f>IF(Y138="No",0,IFERROR(ROUNDDOWN(INDEX('90% of ACR'!R:R,MATCH(H:H,'90% of ACR'!A:A,0))*IF(J138&gt;0,IF(P138&gt;0,$R$4*MAX(P138-W138,0),0),0)/J138,2),0))</f>
        <v>0.53</v>
      </c>
      <c r="AJ138" s="45">
        <f t="shared" si="68"/>
        <v>165987.8481464849</v>
      </c>
      <c r="AK138" s="45">
        <f t="shared" si="68"/>
        <v>1142149.5694049832</v>
      </c>
      <c r="AL138" s="47">
        <f t="shared" si="69"/>
        <v>0.25</v>
      </c>
      <c r="AM138" s="47">
        <f t="shared" si="69"/>
        <v>0.95</v>
      </c>
      <c r="AN138" s="87">
        <f>IFERROR(INDEX(FeeCalc!P:P,MATCH(C138,FeeCalc!F:F,0)),0)</f>
        <v>2508326.5841412013</v>
      </c>
      <c r="AO138" s="87">
        <f>IFERROR(INDEX(FeeCalc!S:S,MATCH(C138,FeeCalc!F:F,0)),0)</f>
        <v>155321.37511311378</v>
      </c>
      <c r="AP138" s="87">
        <f t="shared" si="70"/>
        <v>2663647.9592543151</v>
      </c>
      <c r="AQ138" s="72">
        <f t="shared" si="71"/>
        <v>1130271.0658463021</v>
      </c>
      <c r="AR138" s="72">
        <f t="shared" si="72"/>
        <v>565135.53292315104</v>
      </c>
      <c r="AS138" s="72">
        <f t="shared" si="73"/>
        <v>565135.53292315104</v>
      </c>
      <c r="AT138" s="72">
        <f>IFERROR(IFERROR(INDEX('2023 IP UPL Data'!L:L,MATCH(A:A,'2023 IP UPL Data'!B:B,0)),INDEX('2023 IMD UPL Data'!I:I,MATCH(A:A,'2023 IMD UPL Data'!B:B,0))),0)</f>
        <v>1918938.4756659972</v>
      </c>
      <c r="AU138" s="72">
        <f>IFERROR(IF(F136="IMD",0,INDEX('2023 OP UPL Data'!J:J,MATCH(A:A,'2023 OP UPL Data'!B:B,0))),0)</f>
        <v>900984.98616352188</v>
      </c>
      <c r="AV138" s="45">
        <f t="shared" si="74"/>
        <v>2819923.4618295189</v>
      </c>
      <c r="AW138" s="72">
        <f>IFERROR(IFERROR(INDEX('2023 IP UPL Data'!M:M,MATCH(A:A,'2023 IP UPL Data'!B:B,0)),INDEX('2023 IMD UPL Data'!K:K,MATCH(A:A,'2023 IMD UPL Data'!B:B,0))),0)</f>
        <v>1445207.93</v>
      </c>
      <c r="AX138" s="72">
        <f>IFERROR(IF(F136="IMD",0,INDEX('2023 OP UPL Data'!L:L,MATCH(A:A,'2023 OP UPL Data'!B:B,0))),0)</f>
        <v>1547644.22</v>
      </c>
      <c r="AY138" s="45">
        <f t="shared" si="75"/>
        <v>2992852.15</v>
      </c>
      <c r="AZ138" s="72">
        <v>2762343.0661793952</v>
      </c>
      <c r="BA138" s="72">
        <v>3467834.5854898323</v>
      </c>
      <c r="BB138" s="72">
        <f t="shared" si="76"/>
        <v>2467253.5583634218</v>
      </c>
      <c r="BC138" s="72">
        <f t="shared" si="76"/>
        <v>2562734.9267160725</v>
      </c>
      <c r="BD138" s="72">
        <f t="shared" si="77"/>
        <v>5029988.4850794943</v>
      </c>
      <c r="BE138" s="94">
        <f t="shared" si="78"/>
        <v>1317135.1361793953</v>
      </c>
      <c r="BF138" s="94">
        <f t="shared" si="78"/>
        <v>1920190.3654898324</v>
      </c>
      <c r="BG138" s="73">
        <f>IFERROR(INDEX('2023 IP UPL Data'!K:K,MATCH(A138,'2023 IP UPL Data'!B:B,0)),0)</f>
        <v>0</v>
      </c>
    </row>
    <row r="139" spans="1:59">
      <c r="A139" s="124" t="s">
        <v>192</v>
      </c>
      <c r="B139" s="149" t="s">
        <v>192</v>
      </c>
      <c r="C139" s="31" t="s">
        <v>193</v>
      </c>
      <c r="D139" s="181" t="s">
        <v>193</v>
      </c>
      <c r="E139" s="144" t="s">
        <v>3497</v>
      </c>
      <c r="F139" s="120" t="s">
        <v>2768</v>
      </c>
      <c r="G139" s="120" t="s">
        <v>310</v>
      </c>
      <c r="H139" s="43" t="str">
        <f t="shared" si="58"/>
        <v>Rural MRSA Northeast</v>
      </c>
      <c r="I139" s="45">
        <f>INDEX(FeeCalc!M:M,MATCH(C:C,FeeCalc!F:F,0))</f>
        <v>2418945.2151458389</v>
      </c>
      <c r="J139" s="45">
        <f>INDEX(FeeCalc!L:L,MATCH(C:C,FeeCalc!F:F,0))</f>
        <v>2910072.6679541613</v>
      </c>
      <c r="K139" s="45">
        <f t="shared" si="59"/>
        <v>5329017.8831000002</v>
      </c>
      <c r="L139" s="45">
        <f>IFERROR(IFERROR(INDEX('2023 IP UPL Data'!N:N,MATCH(A:A,'2023 IP UPL Data'!B:B,0)),INDEX('2023 IMD UPL Data'!M:M,MATCH(A:A,'2023 IMD UPL Data'!B:B,0))),0)</f>
        <v>-246749.35853259312</v>
      </c>
      <c r="M139" s="45">
        <f>IFERROR((IF(F139="IMD",0,INDEX('2023 OP UPL Data'!M:M,MATCH(A:A,'2023 OP UPL Data'!B:B,0)))),0)</f>
        <v>859043.55320754717</v>
      </c>
      <c r="N139" s="45">
        <f t="shared" si="60"/>
        <v>612294.19467495405</v>
      </c>
      <c r="O139" s="45">
        <v>1542211.4661078518</v>
      </c>
      <c r="P139" s="45">
        <v>3587019.2385379178</v>
      </c>
      <c r="Q139" s="45">
        <f t="shared" si="61"/>
        <v>5129230.7046457697</v>
      </c>
      <c r="R139" s="45" t="str">
        <f t="shared" si="62"/>
        <v>Yes</v>
      </c>
      <c r="S139" s="46" t="str">
        <f t="shared" si="62"/>
        <v>Yes</v>
      </c>
      <c r="T139" s="47">
        <f>ROUND(INDEX(Summary!H:H,MATCH(H:H,Summary!A:A,0)),2)</f>
        <v>0.16</v>
      </c>
      <c r="U139" s="47">
        <f>ROUND(INDEX(Summary!I:I,MATCH(H:H,Summary!A:A,0)),2)</f>
        <v>0.42</v>
      </c>
      <c r="V139" s="85">
        <f t="shared" si="63"/>
        <v>387031.23442333424</v>
      </c>
      <c r="W139" s="85">
        <f t="shared" si="63"/>
        <v>1222230.5205407478</v>
      </c>
      <c r="X139" s="45">
        <f t="shared" si="64"/>
        <v>1609261.754964082</v>
      </c>
      <c r="Y139" s="45" t="s">
        <v>3223</v>
      </c>
      <c r="Z139" s="45" t="str">
        <f t="shared" si="65"/>
        <v>Yes</v>
      </c>
      <c r="AA139" s="45" t="str">
        <f t="shared" si="65"/>
        <v>Yes</v>
      </c>
      <c r="AB139" s="45" t="str">
        <f t="shared" si="66"/>
        <v>Yes</v>
      </c>
      <c r="AC139" s="86">
        <f t="shared" si="79"/>
        <v>0.33</v>
      </c>
      <c r="AD139" s="86">
        <f t="shared" si="80"/>
        <v>0.56999999999999995</v>
      </c>
      <c r="AE139" s="45">
        <f t="shared" si="81"/>
        <v>798251.92099812685</v>
      </c>
      <c r="AF139" s="45">
        <f t="shared" si="81"/>
        <v>1658741.4207338719</v>
      </c>
      <c r="AG139" s="45">
        <f t="shared" si="67"/>
        <v>2456993.3417319986</v>
      </c>
      <c r="AH139" s="47">
        <f>IF(Y139="No",0,IFERROR(ROUNDDOWN(INDEX('90% of ACR'!K:K,MATCH(H:H,'90% of ACR'!A:A,0))*IF(I139&gt;0,IF(O139&gt;0,$R$4*MAX(O139-V139,0),0),0)/I139,2),0))</f>
        <v>0.15</v>
      </c>
      <c r="AI139" s="86">
        <f>IF(Y139="No",0,IFERROR(ROUNDDOWN(INDEX('90% of ACR'!R:R,MATCH(H:H,'90% of ACR'!A:A,0))*IF(J139&gt;0,IF(P139&gt;0,$R$4*MAX(P139-W139,0),0),0)/J139,2),0))</f>
        <v>0.56000000000000005</v>
      </c>
      <c r="AJ139" s="45">
        <f t="shared" si="68"/>
        <v>362841.78227187583</v>
      </c>
      <c r="AK139" s="45">
        <f t="shared" si="68"/>
        <v>1629640.6940543305</v>
      </c>
      <c r="AL139" s="47">
        <f t="shared" si="69"/>
        <v>0.31</v>
      </c>
      <c r="AM139" s="47">
        <f t="shared" si="69"/>
        <v>0.98</v>
      </c>
      <c r="AN139" s="87">
        <f>IFERROR(INDEX(FeeCalc!P:P,MATCH(C139,FeeCalc!F:F,0)),0)</f>
        <v>3601744.2312902883</v>
      </c>
      <c r="AO139" s="87">
        <f>IFERROR(INDEX(FeeCalc!S:S,MATCH(C139,FeeCalc!F:F,0)),0)</f>
        <v>222497.05255598557</v>
      </c>
      <c r="AP139" s="87">
        <f t="shared" si="70"/>
        <v>3824241.283846274</v>
      </c>
      <c r="AQ139" s="72">
        <f t="shared" si="71"/>
        <v>1622747.9524570575</v>
      </c>
      <c r="AR139" s="72">
        <f t="shared" si="72"/>
        <v>811373.97622852877</v>
      </c>
      <c r="AS139" s="72">
        <f t="shared" si="73"/>
        <v>811373.97622852877</v>
      </c>
      <c r="AT139" s="72">
        <f>IFERROR(IFERROR(INDEX('2023 IP UPL Data'!L:L,MATCH(A:A,'2023 IP UPL Data'!B:B,0)),INDEX('2023 IMD UPL Data'!I:I,MATCH(A:A,'2023 IMD UPL Data'!B:B,0))),0)</f>
        <v>2651506.2985325931</v>
      </c>
      <c r="AU139" s="72">
        <f>IFERROR(IF(F137="IMD",0,INDEX('2023 OP UPL Data'!J:J,MATCH(A:A,'2023 OP UPL Data'!B:B,0))),0)</f>
        <v>822133.60679245275</v>
      </c>
      <c r="AV139" s="45">
        <f t="shared" si="74"/>
        <v>3473639.9053250458</v>
      </c>
      <c r="AW139" s="72">
        <f>IFERROR(IFERROR(INDEX('2023 IP UPL Data'!M:M,MATCH(A:A,'2023 IP UPL Data'!B:B,0)),INDEX('2023 IMD UPL Data'!K:K,MATCH(A:A,'2023 IMD UPL Data'!B:B,0))),0)</f>
        <v>2404756.94</v>
      </c>
      <c r="AX139" s="72">
        <f>IFERROR(IF(F137="IMD",0,INDEX('2023 OP UPL Data'!L:L,MATCH(A:A,'2023 OP UPL Data'!B:B,0))),0)</f>
        <v>1681177.16</v>
      </c>
      <c r="AY139" s="45">
        <f t="shared" si="75"/>
        <v>4085934.0999999996</v>
      </c>
      <c r="AZ139" s="72">
        <v>4193717.7646404449</v>
      </c>
      <c r="BA139" s="72">
        <v>4409152.8453303706</v>
      </c>
      <c r="BB139" s="72">
        <f t="shared" si="76"/>
        <v>3806686.5302171106</v>
      </c>
      <c r="BC139" s="72">
        <f t="shared" si="76"/>
        <v>3186922.3247896228</v>
      </c>
      <c r="BD139" s="72">
        <f t="shared" si="77"/>
        <v>6993608.8550067339</v>
      </c>
      <c r="BE139" s="94">
        <f t="shared" si="78"/>
        <v>1788960.8246404449</v>
      </c>
      <c r="BF139" s="94">
        <f t="shared" si="78"/>
        <v>2727975.6853303704</v>
      </c>
      <c r="BG139" s="73">
        <f>IFERROR(INDEX('2023 IP UPL Data'!K:K,MATCH(A139,'2023 IP UPL Data'!B:B,0)),0)</f>
        <v>0</v>
      </c>
    </row>
    <row r="140" spans="1:59">
      <c r="A140" s="124" t="s">
        <v>320</v>
      </c>
      <c r="B140" s="149" t="s">
        <v>320</v>
      </c>
      <c r="C140" s="31" t="s">
        <v>321</v>
      </c>
      <c r="D140" s="181" t="s">
        <v>321</v>
      </c>
      <c r="E140" s="144" t="s">
        <v>3498</v>
      </c>
      <c r="F140" s="120" t="s">
        <v>2768</v>
      </c>
      <c r="G140" s="120" t="s">
        <v>310</v>
      </c>
      <c r="H140" s="43" t="str">
        <f t="shared" si="58"/>
        <v>Rural MRSA Northeast</v>
      </c>
      <c r="I140" s="45">
        <f>INDEX(FeeCalc!M:M,MATCH(C:C,FeeCalc!F:F,0))</f>
        <v>279135.00967350049</v>
      </c>
      <c r="J140" s="45">
        <f>INDEX(FeeCalc!L:L,MATCH(C:C,FeeCalc!F:F,0))</f>
        <v>1597831.1626917846</v>
      </c>
      <c r="K140" s="45">
        <f t="shared" si="59"/>
        <v>1876966.172365285</v>
      </c>
      <c r="L140" s="45">
        <f>IFERROR(IFERROR(INDEX('2023 IP UPL Data'!N:N,MATCH(A:A,'2023 IP UPL Data'!B:B,0)),INDEX('2023 IMD UPL Data'!M:M,MATCH(A:A,'2023 IMD UPL Data'!B:B,0))),0)</f>
        <v>42987.057308051735</v>
      </c>
      <c r="M140" s="45">
        <f>IFERROR((IF(F140="IMD",0,INDEX('2023 OP UPL Data'!M:M,MATCH(A:A,'2023 OP UPL Data'!B:B,0)))),0)</f>
        <v>-653159.20729559753</v>
      </c>
      <c r="N140" s="45">
        <f t="shared" si="60"/>
        <v>-610172.1499875458</v>
      </c>
      <c r="O140" s="45">
        <v>241948.2666043514</v>
      </c>
      <c r="P140" s="45">
        <v>2424332.3099098327</v>
      </c>
      <c r="Q140" s="45">
        <f t="shared" si="61"/>
        <v>2666280.576514184</v>
      </c>
      <c r="R140" s="45" t="str">
        <f t="shared" si="62"/>
        <v>Yes</v>
      </c>
      <c r="S140" s="46" t="str">
        <f t="shared" si="62"/>
        <v>Yes</v>
      </c>
      <c r="T140" s="47">
        <f>ROUND(INDEX(Summary!H:H,MATCH(H:H,Summary!A:A,0)),2)</f>
        <v>0.16</v>
      </c>
      <c r="U140" s="47">
        <f>ROUND(INDEX(Summary!I:I,MATCH(H:H,Summary!A:A,0)),2)</f>
        <v>0.42</v>
      </c>
      <c r="V140" s="85">
        <f t="shared" si="63"/>
        <v>44661.601547760081</v>
      </c>
      <c r="W140" s="85">
        <f t="shared" si="63"/>
        <v>671089.08833054954</v>
      </c>
      <c r="X140" s="45">
        <f t="shared" si="64"/>
        <v>715750.68987830961</v>
      </c>
      <c r="Y140" s="45" t="s">
        <v>3223</v>
      </c>
      <c r="Z140" s="45" t="str">
        <f t="shared" si="65"/>
        <v>Yes</v>
      </c>
      <c r="AA140" s="45" t="str">
        <f t="shared" si="65"/>
        <v>Yes</v>
      </c>
      <c r="AB140" s="45" t="str">
        <f t="shared" si="66"/>
        <v>Yes</v>
      </c>
      <c r="AC140" s="86">
        <f t="shared" si="79"/>
        <v>0.49</v>
      </c>
      <c r="AD140" s="86">
        <f t="shared" si="80"/>
        <v>0.76</v>
      </c>
      <c r="AE140" s="45">
        <f t="shared" si="81"/>
        <v>136776.15474001525</v>
      </c>
      <c r="AF140" s="45">
        <f t="shared" si="81"/>
        <v>1214351.6836457562</v>
      </c>
      <c r="AG140" s="45">
        <f t="shared" si="67"/>
        <v>1351127.8383857715</v>
      </c>
      <c r="AH140" s="47">
        <f>IF(Y140="No",0,IFERROR(ROUNDDOWN(INDEX('90% of ACR'!K:K,MATCH(H:H,'90% of ACR'!A:A,0))*IF(I140&gt;0,IF(O140&gt;0,$R$4*MAX(O140-V140,0),0),0)/I140,2),0))</f>
        <v>0.23</v>
      </c>
      <c r="AI140" s="86">
        <f>IF(Y140="No",0,IFERROR(ROUNDDOWN(INDEX('90% of ACR'!R:R,MATCH(H:H,'90% of ACR'!A:A,0))*IF(J140&gt;0,IF(P140&gt;0,$R$4*MAX(P140-W140,0),0),0)/J140,2),0))</f>
        <v>0.76</v>
      </c>
      <c r="AJ140" s="45">
        <f t="shared" si="68"/>
        <v>64201.052224905114</v>
      </c>
      <c r="AK140" s="45">
        <f t="shared" si="68"/>
        <v>1214351.6836457562</v>
      </c>
      <c r="AL140" s="47">
        <f t="shared" si="69"/>
        <v>0.39</v>
      </c>
      <c r="AM140" s="47">
        <f t="shared" si="69"/>
        <v>1.18</v>
      </c>
      <c r="AN140" s="87">
        <f>IFERROR(INDEX(FeeCalc!P:P,MATCH(C140,FeeCalc!F:F,0)),0)</f>
        <v>1994303.4257489708</v>
      </c>
      <c r="AO140" s="87">
        <f>IFERROR(INDEX(FeeCalc!S:S,MATCH(C140,FeeCalc!F:F,0)),0)</f>
        <v>123537.17228892917</v>
      </c>
      <c r="AP140" s="87">
        <f t="shared" si="70"/>
        <v>2117840.5980378999</v>
      </c>
      <c r="AQ140" s="72">
        <f t="shared" si="71"/>
        <v>898667.53664661827</v>
      </c>
      <c r="AR140" s="72">
        <f t="shared" si="72"/>
        <v>449333.76832330914</v>
      </c>
      <c r="AS140" s="72">
        <f t="shared" si="73"/>
        <v>449333.76832330914</v>
      </c>
      <c r="AT140" s="72">
        <f>IFERROR(IFERROR(INDEX('2023 IP UPL Data'!L:L,MATCH(A:A,'2023 IP UPL Data'!B:B,0)),INDEX('2023 IMD UPL Data'!I:I,MATCH(A:A,'2023 IMD UPL Data'!B:B,0))),0)</f>
        <v>393546.86269194825</v>
      </c>
      <c r="AU140" s="72">
        <f>IFERROR(IF(F138="IMD",0,INDEX('2023 OP UPL Data'!J:J,MATCH(A:A,'2023 OP UPL Data'!B:B,0))),0)</f>
        <v>819937.88729559747</v>
      </c>
      <c r="AV140" s="45">
        <f t="shared" si="74"/>
        <v>1213484.7499875457</v>
      </c>
      <c r="AW140" s="72">
        <f>IFERROR(IFERROR(INDEX('2023 IP UPL Data'!M:M,MATCH(A:A,'2023 IP UPL Data'!B:B,0)),INDEX('2023 IMD UPL Data'!K:K,MATCH(A:A,'2023 IMD UPL Data'!B:B,0))),0)</f>
        <v>436533.92</v>
      </c>
      <c r="AX140" s="72">
        <f>IFERROR(IF(F138="IMD",0,INDEX('2023 OP UPL Data'!L:L,MATCH(A:A,'2023 OP UPL Data'!B:B,0))),0)</f>
        <v>166778.68</v>
      </c>
      <c r="AY140" s="45">
        <f t="shared" si="75"/>
        <v>603312.6</v>
      </c>
      <c r="AZ140" s="72">
        <v>635495.12929629965</v>
      </c>
      <c r="BA140" s="72">
        <v>3244270.1972054299</v>
      </c>
      <c r="BB140" s="72">
        <f t="shared" si="76"/>
        <v>590833.52774853958</v>
      </c>
      <c r="BC140" s="72">
        <f t="shared" si="76"/>
        <v>2573181.1088748802</v>
      </c>
      <c r="BD140" s="72">
        <f t="shared" si="77"/>
        <v>3164014.6366234198</v>
      </c>
      <c r="BE140" s="94">
        <f t="shared" si="78"/>
        <v>198961.20929629967</v>
      </c>
      <c r="BF140" s="94">
        <f t="shared" si="78"/>
        <v>3077491.5172054297</v>
      </c>
      <c r="BG140" s="73">
        <f>IFERROR(INDEX('2023 IP UPL Data'!K:K,MATCH(A140,'2023 IP UPL Data'!B:B,0)),0)</f>
        <v>0</v>
      </c>
    </row>
    <row r="141" spans="1:59">
      <c r="A141" s="124" t="s">
        <v>356</v>
      </c>
      <c r="B141" s="149" t="s">
        <v>356</v>
      </c>
      <c r="C141" s="31" t="s">
        <v>357</v>
      </c>
      <c r="D141" s="181" t="s">
        <v>357</v>
      </c>
      <c r="E141" s="144" t="s">
        <v>3499</v>
      </c>
      <c r="F141" s="120" t="s">
        <v>2768</v>
      </c>
      <c r="G141" s="120" t="s">
        <v>310</v>
      </c>
      <c r="H141" s="43" t="str">
        <f t="shared" si="58"/>
        <v>Rural MRSA Northeast</v>
      </c>
      <c r="I141" s="45">
        <f>INDEX(FeeCalc!M:M,MATCH(C:C,FeeCalc!F:F,0))</f>
        <v>325158.2475807275</v>
      </c>
      <c r="J141" s="45">
        <f>INDEX(FeeCalc!L:L,MATCH(C:C,FeeCalc!F:F,0))</f>
        <v>1025379.8926015859</v>
      </c>
      <c r="K141" s="45">
        <f t="shared" si="59"/>
        <v>1350538.1401823135</v>
      </c>
      <c r="L141" s="45">
        <f>IFERROR(IFERROR(INDEX('2023 IP UPL Data'!N:N,MATCH(A:A,'2023 IP UPL Data'!B:B,0)),INDEX('2023 IMD UPL Data'!M:M,MATCH(A:A,'2023 IMD UPL Data'!B:B,0))),0)</f>
        <v>-104877.51961546991</v>
      </c>
      <c r="M141" s="45">
        <f>IFERROR((IF(F141="IMD",0,INDEX('2023 OP UPL Data'!M:M,MATCH(A:A,'2023 OP UPL Data'!B:B,0)))),0)</f>
        <v>-449325.44867924531</v>
      </c>
      <c r="N141" s="45">
        <f t="shared" si="60"/>
        <v>-554202.96829471528</v>
      </c>
      <c r="O141" s="45">
        <v>260358.59289333335</v>
      </c>
      <c r="P141" s="45">
        <v>1659897.1721638478</v>
      </c>
      <c r="Q141" s="45">
        <f t="shared" si="61"/>
        <v>1920255.7650571812</v>
      </c>
      <c r="R141" s="45" t="str">
        <f t="shared" si="62"/>
        <v>Yes</v>
      </c>
      <c r="S141" s="46" t="str">
        <f t="shared" si="62"/>
        <v>Yes</v>
      </c>
      <c r="T141" s="47">
        <f>ROUND(INDEX(Summary!H:H,MATCH(H:H,Summary!A:A,0)),2)</f>
        <v>0.16</v>
      </c>
      <c r="U141" s="47">
        <f>ROUND(INDEX(Summary!I:I,MATCH(H:H,Summary!A:A,0)),2)</f>
        <v>0.42</v>
      </c>
      <c r="V141" s="85">
        <f t="shared" si="63"/>
        <v>52025.319612916399</v>
      </c>
      <c r="W141" s="85">
        <f t="shared" si="63"/>
        <v>430659.55489266606</v>
      </c>
      <c r="X141" s="45">
        <f t="shared" si="64"/>
        <v>482684.87450558244</v>
      </c>
      <c r="Y141" s="45" t="s">
        <v>3223</v>
      </c>
      <c r="Z141" s="45" t="str">
        <f t="shared" si="65"/>
        <v>Yes</v>
      </c>
      <c r="AA141" s="45" t="str">
        <f t="shared" si="65"/>
        <v>Yes</v>
      </c>
      <c r="AB141" s="45" t="str">
        <f t="shared" si="66"/>
        <v>Yes</v>
      </c>
      <c r="AC141" s="86">
        <f t="shared" si="79"/>
        <v>0.45</v>
      </c>
      <c r="AD141" s="86">
        <f t="shared" si="80"/>
        <v>0.84</v>
      </c>
      <c r="AE141" s="45">
        <f t="shared" si="81"/>
        <v>146321.21141132739</v>
      </c>
      <c r="AF141" s="45">
        <f t="shared" si="81"/>
        <v>861319.10978533211</v>
      </c>
      <c r="AG141" s="45">
        <f t="shared" si="67"/>
        <v>1007640.3211966595</v>
      </c>
      <c r="AH141" s="47">
        <f>IF(Y141="No",0,IFERROR(ROUNDDOWN(INDEX('90% of ACR'!K:K,MATCH(H:H,'90% of ACR'!A:A,0))*IF(I141&gt;0,IF(O141&gt;0,$R$4*MAX(O141-V141,0),0),0)/I141,2),0))</f>
        <v>0.21</v>
      </c>
      <c r="AI141" s="86">
        <f>IF(Y141="No",0,IFERROR(ROUNDDOWN(INDEX('90% of ACR'!R:R,MATCH(H:H,'90% of ACR'!A:A,0))*IF(J141&gt;0,IF(P141&gt;0,$R$4*MAX(P141-W141,0),0),0)/J141,2),0))</f>
        <v>0.83</v>
      </c>
      <c r="AJ141" s="45">
        <f t="shared" si="68"/>
        <v>68283.23199195278</v>
      </c>
      <c r="AK141" s="45">
        <f t="shared" si="68"/>
        <v>851065.31085931626</v>
      </c>
      <c r="AL141" s="47">
        <f t="shared" si="69"/>
        <v>0.37</v>
      </c>
      <c r="AM141" s="47">
        <f t="shared" si="69"/>
        <v>1.25</v>
      </c>
      <c r="AN141" s="87">
        <f>IFERROR(INDEX(FeeCalc!P:P,MATCH(C141,FeeCalc!F:F,0)),0)</f>
        <v>1402033.4173568515</v>
      </c>
      <c r="AO141" s="87">
        <f>IFERROR(INDEX(FeeCalc!S:S,MATCH(C141,FeeCalc!F:F,0)),0)</f>
        <v>87142.548829807463</v>
      </c>
      <c r="AP141" s="87">
        <f t="shared" si="70"/>
        <v>1489175.9661866589</v>
      </c>
      <c r="AQ141" s="72">
        <f t="shared" si="71"/>
        <v>631905.01608391746</v>
      </c>
      <c r="AR141" s="72">
        <f t="shared" si="72"/>
        <v>315952.50804195873</v>
      </c>
      <c r="AS141" s="72">
        <f t="shared" si="73"/>
        <v>315952.50804195873</v>
      </c>
      <c r="AT141" s="72">
        <f>IFERROR(IFERROR(INDEX('2023 IP UPL Data'!L:L,MATCH(A:A,'2023 IP UPL Data'!B:B,0)),INDEX('2023 IMD UPL Data'!I:I,MATCH(A:A,'2023 IMD UPL Data'!B:B,0))),0)</f>
        <v>415552.52961546992</v>
      </c>
      <c r="AU141" s="72">
        <f>IFERROR(IF(F139="IMD",0,INDEX('2023 OP UPL Data'!J:J,MATCH(A:A,'2023 OP UPL Data'!B:B,0))),0)</f>
        <v>489169.54867924529</v>
      </c>
      <c r="AV141" s="45">
        <f t="shared" si="74"/>
        <v>904722.07829471515</v>
      </c>
      <c r="AW141" s="72">
        <f>IFERROR(IFERROR(INDEX('2023 IP UPL Data'!M:M,MATCH(A:A,'2023 IP UPL Data'!B:B,0)),INDEX('2023 IMD UPL Data'!K:K,MATCH(A:A,'2023 IMD UPL Data'!B:B,0))),0)</f>
        <v>310675.01</v>
      </c>
      <c r="AX141" s="72">
        <f>IFERROR(IF(F139="IMD",0,INDEX('2023 OP UPL Data'!L:L,MATCH(A:A,'2023 OP UPL Data'!B:B,0))),0)</f>
        <v>39844.1</v>
      </c>
      <c r="AY141" s="45">
        <f t="shared" si="75"/>
        <v>350519.11</v>
      </c>
      <c r="AZ141" s="72">
        <v>675911.12250880327</v>
      </c>
      <c r="BA141" s="72">
        <v>2149066.720843093</v>
      </c>
      <c r="BB141" s="72">
        <f t="shared" si="76"/>
        <v>623885.80289588682</v>
      </c>
      <c r="BC141" s="72">
        <f t="shared" si="76"/>
        <v>1718407.1659504268</v>
      </c>
      <c r="BD141" s="72">
        <f t="shared" si="77"/>
        <v>2342292.9688463141</v>
      </c>
      <c r="BE141" s="94">
        <f t="shared" si="78"/>
        <v>365236.11250880326</v>
      </c>
      <c r="BF141" s="94">
        <f t="shared" si="78"/>
        <v>2109222.6208430929</v>
      </c>
      <c r="BG141" s="73">
        <f>IFERROR(INDEX('2023 IP UPL Data'!K:K,MATCH(A141,'2023 IP UPL Data'!B:B,0)),0)</f>
        <v>0</v>
      </c>
    </row>
    <row r="142" spans="1:59">
      <c r="A142" s="124" t="s">
        <v>1503</v>
      </c>
      <c r="B142" s="149" t="s">
        <v>1503</v>
      </c>
      <c r="C142" s="31" t="s">
        <v>1504</v>
      </c>
      <c r="D142" s="181" t="s">
        <v>1504</v>
      </c>
      <c r="E142" s="144" t="s">
        <v>3500</v>
      </c>
      <c r="F142" s="120" t="s">
        <v>2718</v>
      </c>
      <c r="G142" s="120" t="s">
        <v>310</v>
      </c>
      <c r="H142" s="43" t="str">
        <f t="shared" si="58"/>
        <v>Urban MRSA Northeast</v>
      </c>
      <c r="I142" s="45">
        <f>INDEX(FeeCalc!M:M,MATCH(C:C,FeeCalc!F:F,0))</f>
        <v>8237.1025511019234</v>
      </c>
      <c r="J142" s="45">
        <f>INDEX(FeeCalc!L:L,MATCH(C:C,FeeCalc!F:F,0))</f>
        <v>112230.96417904373</v>
      </c>
      <c r="K142" s="45">
        <f t="shared" si="59"/>
        <v>120468.06673014566</v>
      </c>
      <c r="L142" s="45">
        <f>IFERROR(IFERROR(INDEX('2023 IP UPL Data'!N:N,MATCH(A:A,'2023 IP UPL Data'!B:B,0)),INDEX('2023 IMD UPL Data'!M:M,MATCH(A:A,'2023 IMD UPL Data'!B:B,0))),0)</f>
        <v>0</v>
      </c>
      <c r="M142" s="45">
        <f>IFERROR((IF(F142="IMD",0,INDEX('2023 OP UPL Data'!M:M,MATCH(A:A,'2023 OP UPL Data'!B:B,0)))),0)</f>
        <v>189452.89883061979</v>
      </c>
      <c r="N142" s="45">
        <f t="shared" si="60"/>
        <v>189452.89883061979</v>
      </c>
      <c r="O142" s="45">
        <v>0</v>
      </c>
      <c r="P142" s="45">
        <v>425589.11006243736</v>
      </c>
      <c r="Q142" s="45">
        <f t="shared" si="61"/>
        <v>425589.11006243736</v>
      </c>
      <c r="R142" s="45" t="str">
        <f t="shared" si="62"/>
        <v>No</v>
      </c>
      <c r="S142" s="46" t="str">
        <f t="shared" si="62"/>
        <v>Yes</v>
      </c>
      <c r="T142" s="47">
        <f>ROUND(INDEX(Summary!H:H,MATCH(H:H,Summary!A:A,0)),2)</f>
        <v>0.79</v>
      </c>
      <c r="U142" s="47">
        <f>ROUND(INDEX(Summary!I:I,MATCH(H:H,Summary!A:A,0)),2)</f>
        <v>1.2</v>
      </c>
      <c r="V142" s="85">
        <f t="shared" si="63"/>
        <v>6507.3110153705202</v>
      </c>
      <c r="W142" s="85">
        <f t="shared" si="63"/>
        <v>134677.15701485248</v>
      </c>
      <c r="X142" s="45">
        <f t="shared" si="64"/>
        <v>141184.46803022298</v>
      </c>
      <c r="Y142" s="45" t="s">
        <v>3223</v>
      </c>
      <c r="Z142" s="45" t="str">
        <f t="shared" si="65"/>
        <v>No</v>
      </c>
      <c r="AA142" s="45" t="str">
        <f t="shared" si="65"/>
        <v>Yes</v>
      </c>
      <c r="AB142" s="45" t="str">
        <f t="shared" si="66"/>
        <v>Yes</v>
      </c>
      <c r="AC142" s="86">
        <f t="shared" si="79"/>
        <v>0</v>
      </c>
      <c r="AD142" s="86">
        <f t="shared" si="80"/>
        <v>1.81</v>
      </c>
      <c r="AE142" s="45">
        <f t="shared" si="81"/>
        <v>0</v>
      </c>
      <c r="AF142" s="45">
        <f t="shared" si="81"/>
        <v>203138.04516406916</v>
      </c>
      <c r="AG142" s="45">
        <f t="shared" si="67"/>
        <v>203138.04516406916</v>
      </c>
      <c r="AH142" s="47">
        <f>IF(Y142="No",0,IFERROR(ROUNDDOWN(INDEX('90% of ACR'!K:K,MATCH(H:H,'90% of ACR'!A:A,0))*IF(I142&gt;0,IF(O142&gt;0,$R$4*MAX(O142-V142,0),0),0)/I142,2),0))</f>
        <v>0</v>
      </c>
      <c r="AI142" s="86">
        <f>IF(Y142="No",0,IFERROR(ROUNDDOWN(INDEX('90% of ACR'!R:R,MATCH(H:H,'90% of ACR'!A:A,0))*IF(J142&gt;0,IF(P142&gt;0,$R$4*MAX(P142-W142,0),0),0)/J142,2),0))</f>
        <v>1.8</v>
      </c>
      <c r="AJ142" s="45">
        <f t="shared" si="68"/>
        <v>0</v>
      </c>
      <c r="AK142" s="45">
        <f t="shared" si="68"/>
        <v>202015.73552227873</v>
      </c>
      <c r="AL142" s="47">
        <f t="shared" si="69"/>
        <v>0.79</v>
      </c>
      <c r="AM142" s="47">
        <f t="shared" si="69"/>
        <v>3</v>
      </c>
      <c r="AN142" s="87">
        <f>IFERROR(INDEX(FeeCalc!P:P,MATCH(C142,FeeCalc!F:F,0)),0)</f>
        <v>343200.20355250174</v>
      </c>
      <c r="AO142" s="87">
        <f>IFERROR(INDEX(FeeCalc!S:S,MATCH(C142,FeeCalc!F:F,0)),0)</f>
        <v>21444.87127553016</v>
      </c>
      <c r="AP142" s="87">
        <f t="shared" si="70"/>
        <v>364645.07482803188</v>
      </c>
      <c r="AQ142" s="72">
        <f t="shared" si="71"/>
        <v>154730.57389192845</v>
      </c>
      <c r="AR142" s="72">
        <f t="shared" si="72"/>
        <v>77365.286945964224</v>
      </c>
      <c r="AS142" s="72">
        <f t="shared" si="73"/>
        <v>77365.286945964224</v>
      </c>
      <c r="AT142" s="72">
        <f>IFERROR(IFERROR(INDEX('2023 IP UPL Data'!L:L,MATCH(A:A,'2023 IP UPL Data'!B:B,0)),INDEX('2023 IMD UPL Data'!I:I,MATCH(A:A,'2023 IMD UPL Data'!B:B,0))),0)</f>
        <v>0</v>
      </c>
      <c r="AU142" s="72">
        <f>IFERROR(IF(F140="IMD",0,INDEX('2023 OP UPL Data'!J:J,MATCH(A:A,'2023 OP UPL Data'!B:B,0))),0)</f>
        <v>131830.45116938019</v>
      </c>
      <c r="AV142" s="45">
        <f t="shared" si="74"/>
        <v>131830.45116938019</v>
      </c>
      <c r="AW142" s="72">
        <f>IFERROR(IFERROR(INDEX('2023 IP UPL Data'!M:M,MATCH(A:A,'2023 IP UPL Data'!B:B,0)),INDEX('2023 IMD UPL Data'!K:K,MATCH(A:A,'2023 IMD UPL Data'!B:B,0))),0)</f>
        <v>0</v>
      </c>
      <c r="AX142" s="72">
        <f>IFERROR(IF(F140="IMD",0,INDEX('2023 OP UPL Data'!L:L,MATCH(A:A,'2023 OP UPL Data'!B:B,0))),0)</f>
        <v>321283.34999999998</v>
      </c>
      <c r="AY142" s="45">
        <f t="shared" si="75"/>
        <v>321283.34999999998</v>
      </c>
      <c r="AZ142" s="72">
        <v>0</v>
      </c>
      <c r="BA142" s="72">
        <v>557419.56123181758</v>
      </c>
      <c r="BB142" s="72">
        <f t="shared" si="76"/>
        <v>0</v>
      </c>
      <c r="BC142" s="72">
        <f t="shared" si="76"/>
        <v>422742.40421696508</v>
      </c>
      <c r="BD142" s="72">
        <f t="shared" si="77"/>
        <v>416235.0932015946</v>
      </c>
      <c r="BE142" s="94">
        <f t="shared" si="78"/>
        <v>0</v>
      </c>
      <c r="BF142" s="94">
        <f t="shared" si="78"/>
        <v>236136.21123181761</v>
      </c>
      <c r="BG142" s="73">
        <f>IFERROR(INDEX('2023 IP UPL Data'!K:K,MATCH(A142,'2023 IP UPL Data'!B:B,0)),0)</f>
        <v>0</v>
      </c>
    </row>
    <row r="143" spans="1:59">
      <c r="A143" s="124" t="s">
        <v>459</v>
      </c>
      <c r="B143" s="149" t="s">
        <v>459</v>
      </c>
      <c r="C143" s="31" t="s">
        <v>460</v>
      </c>
      <c r="D143" s="181" t="s">
        <v>460</v>
      </c>
      <c r="E143" s="144" t="s">
        <v>3501</v>
      </c>
      <c r="F143" s="120" t="s">
        <v>2718</v>
      </c>
      <c r="G143" s="120" t="s">
        <v>310</v>
      </c>
      <c r="H143" s="43" t="str">
        <f t="shared" si="58"/>
        <v>Urban MRSA Northeast</v>
      </c>
      <c r="I143" s="45">
        <f>INDEX(FeeCalc!M:M,MATCH(C:C,FeeCalc!F:F,0))</f>
        <v>9510823.5664302092</v>
      </c>
      <c r="J143" s="45">
        <f>INDEX(FeeCalc!L:L,MATCH(C:C,FeeCalc!F:F,0))</f>
        <v>5338990.5154181281</v>
      </c>
      <c r="K143" s="45">
        <f t="shared" si="59"/>
        <v>14849814.081848338</v>
      </c>
      <c r="L143" s="45">
        <f>IFERROR(IFERROR(INDEX('2023 IP UPL Data'!N:N,MATCH(A:A,'2023 IP UPL Data'!B:B,0)),INDEX('2023 IMD UPL Data'!M:M,MATCH(A:A,'2023 IMD UPL Data'!B:B,0))),0)</f>
        <v>5123372.7054347806</v>
      </c>
      <c r="M143" s="45">
        <f>IFERROR((IF(F143="IMD",0,INDEX('2023 OP UPL Data'!M:M,MATCH(A:A,'2023 OP UPL Data'!B:B,0)))),0)</f>
        <v>7362814.40478261</v>
      </c>
      <c r="N143" s="45">
        <f t="shared" si="60"/>
        <v>12486187.110217391</v>
      </c>
      <c r="O143" s="45">
        <v>28863098.966136426</v>
      </c>
      <c r="P143" s="45">
        <v>12886437.355099872</v>
      </c>
      <c r="Q143" s="45">
        <f t="shared" si="61"/>
        <v>41749536.321236297</v>
      </c>
      <c r="R143" s="45" t="str">
        <f t="shared" si="62"/>
        <v>Yes</v>
      </c>
      <c r="S143" s="46" t="str">
        <f t="shared" si="62"/>
        <v>Yes</v>
      </c>
      <c r="T143" s="47">
        <f>ROUND(INDEX(Summary!H:H,MATCH(H:H,Summary!A:A,0)),2)</f>
        <v>0.79</v>
      </c>
      <c r="U143" s="47">
        <f>ROUND(INDEX(Summary!I:I,MATCH(H:H,Summary!A:A,0)),2)</f>
        <v>1.2</v>
      </c>
      <c r="V143" s="85">
        <f t="shared" si="63"/>
        <v>7513550.6174798654</v>
      </c>
      <c r="W143" s="85">
        <f t="shared" si="63"/>
        <v>6406788.6185017535</v>
      </c>
      <c r="X143" s="45">
        <f t="shared" si="64"/>
        <v>13920339.235981619</v>
      </c>
      <c r="Y143" s="45" t="s">
        <v>3223</v>
      </c>
      <c r="Z143" s="45" t="str">
        <f t="shared" si="65"/>
        <v>Yes</v>
      </c>
      <c r="AA143" s="45" t="str">
        <f t="shared" si="65"/>
        <v>Yes</v>
      </c>
      <c r="AB143" s="45" t="str">
        <f t="shared" si="66"/>
        <v>Yes</v>
      </c>
      <c r="AC143" s="86">
        <f t="shared" si="79"/>
        <v>1.56</v>
      </c>
      <c r="AD143" s="86">
        <f t="shared" si="80"/>
        <v>0.85</v>
      </c>
      <c r="AE143" s="45">
        <f t="shared" si="81"/>
        <v>14836884.763631128</v>
      </c>
      <c r="AF143" s="45">
        <f t="shared" si="81"/>
        <v>4538141.938105409</v>
      </c>
      <c r="AG143" s="45">
        <f t="shared" si="67"/>
        <v>19375026.701736536</v>
      </c>
      <c r="AH143" s="47">
        <f>IF(Y143="No",0,IFERROR(ROUNDDOWN(INDEX('90% of ACR'!K:K,MATCH(H:H,'90% of ACR'!A:A,0))*IF(I143&gt;0,IF(O143&gt;0,$R$4*MAX(O143-V143,0),0),0)/I143,2),0))</f>
        <v>1.56</v>
      </c>
      <c r="AI143" s="86">
        <f>IF(Y143="No",0,IFERROR(ROUNDDOWN(INDEX('90% of ACR'!R:R,MATCH(H:H,'90% of ACR'!A:A,0))*IF(J143&gt;0,IF(P143&gt;0,$R$4*MAX(P143-W143,0),0),0)/J143,2),0))</f>
        <v>0.84</v>
      </c>
      <c r="AJ143" s="45">
        <f t="shared" si="68"/>
        <v>14836884.763631128</v>
      </c>
      <c r="AK143" s="45">
        <f t="shared" si="68"/>
        <v>4484752.0329512274</v>
      </c>
      <c r="AL143" s="47">
        <f t="shared" si="69"/>
        <v>2.35</v>
      </c>
      <c r="AM143" s="47">
        <f t="shared" si="69"/>
        <v>2.04</v>
      </c>
      <c r="AN143" s="87">
        <f>IFERROR(INDEX(FeeCalc!P:P,MATCH(C143,FeeCalc!F:F,0)),0)</f>
        <v>33241976.032563973</v>
      </c>
      <c r="AO143" s="87">
        <f>IFERROR(INDEX(FeeCalc!S:S,MATCH(C143,FeeCalc!F:F,0)),0)</f>
        <v>2089924.0272930483</v>
      </c>
      <c r="AP143" s="87">
        <f t="shared" si="70"/>
        <v>35331900.059857018</v>
      </c>
      <c r="AQ143" s="72">
        <f t="shared" si="71"/>
        <v>14992455.816199249</v>
      </c>
      <c r="AR143" s="72">
        <f t="shared" si="72"/>
        <v>7496227.9080996243</v>
      </c>
      <c r="AS143" s="72">
        <f t="shared" si="73"/>
        <v>7496227.9080996243</v>
      </c>
      <c r="AT143" s="72">
        <f>IFERROR(IFERROR(INDEX('2023 IP UPL Data'!L:L,MATCH(A:A,'2023 IP UPL Data'!B:B,0)),INDEX('2023 IMD UPL Data'!I:I,MATCH(A:A,'2023 IMD UPL Data'!B:B,0))),0)</f>
        <v>10054028.244565219</v>
      </c>
      <c r="AU143" s="72">
        <f>IFERROR(IF(F141="IMD",0,INDEX('2023 OP UPL Data'!J:J,MATCH(A:A,'2023 OP UPL Data'!B:B,0))),0)</f>
        <v>1611037.8152173904</v>
      </c>
      <c r="AV143" s="45">
        <f t="shared" si="74"/>
        <v>11665066.059782609</v>
      </c>
      <c r="AW143" s="72">
        <f>IFERROR(IFERROR(INDEX('2023 IP UPL Data'!M:M,MATCH(A:A,'2023 IP UPL Data'!B:B,0)),INDEX('2023 IMD UPL Data'!K:K,MATCH(A:A,'2023 IMD UPL Data'!B:B,0))),0)</f>
        <v>15177400.949999999</v>
      </c>
      <c r="AX143" s="72">
        <f>IFERROR(IF(F141="IMD",0,INDEX('2023 OP UPL Data'!L:L,MATCH(A:A,'2023 OP UPL Data'!B:B,0))),0)</f>
        <v>8973852.2200000007</v>
      </c>
      <c r="AY143" s="45">
        <f t="shared" si="75"/>
        <v>24151253.170000002</v>
      </c>
      <c r="AZ143" s="72">
        <v>38917127.210701644</v>
      </c>
      <c r="BA143" s="72">
        <v>14497475.170317262</v>
      </c>
      <c r="BB143" s="72">
        <f t="shared" si="76"/>
        <v>31403576.59322178</v>
      </c>
      <c r="BC143" s="72">
        <f t="shared" si="76"/>
        <v>8090686.5518155089</v>
      </c>
      <c r="BD143" s="72">
        <f t="shared" si="77"/>
        <v>39494263.145037286</v>
      </c>
      <c r="BE143" s="94">
        <f t="shared" si="78"/>
        <v>23739726.260701645</v>
      </c>
      <c r="BF143" s="94">
        <f t="shared" si="78"/>
        <v>5523622.9503172617</v>
      </c>
      <c r="BG143" s="73">
        <f>IFERROR(INDEX('2023 IP UPL Data'!K:K,MATCH(A143,'2023 IP UPL Data'!B:B,0)),0)</f>
        <v>0</v>
      </c>
    </row>
    <row r="144" spans="1:59">
      <c r="A144" s="124" t="s">
        <v>1041</v>
      </c>
      <c r="B144" s="149" t="s">
        <v>1041</v>
      </c>
      <c r="C144" s="31" t="s">
        <v>1042</v>
      </c>
      <c r="D144" s="181" t="s">
        <v>1042</v>
      </c>
      <c r="E144" s="144" t="s">
        <v>3502</v>
      </c>
      <c r="F144" s="120" t="s">
        <v>2718</v>
      </c>
      <c r="G144" s="120" t="s">
        <v>300</v>
      </c>
      <c r="H144" s="43" t="str">
        <f t="shared" si="58"/>
        <v>Urban Harris</v>
      </c>
      <c r="I144" s="45">
        <f>INDEX(FeeCalc!M:M,MATCH(C:C,FeeCalc!F:F,0))</f>
        <v>13435868.614492904</v>
      </c>
      <c r="J144" s="45">
        <f>INDEX(FeeCalc!L:L,MATCH(C:C,FeeCalc!F:F,0))</f>
        <v>7706941.8902152469</v>
      </c>
      <c r="K144" s="45">
        <f t="shared" si="59"/>
        <v>21142810.504708152</v>
      </c>
      <c r="L144" s="45">
        <f>IFERROR(IFERROR(INDEX('2023 IP UPL Data'!N:N,MATCH(A:A,'2023 IP UPL Data'!B:B,0)),INDEX('2023 IMD UPL Data'!M:M,MATCH(A:A,'2023 IMD UPL Data'!B:B,0))),0)</f>
        <v>30709310.167647053</v>
      </c>
      <c r="M144" s="45">
        <f>IFERROR((IF(F144="IMD",0,INDEX('2023 OP UPL Data'!M:M,MATCH(A:A,'2023 OP UPL Data'!B:B,0)))),0)</f>
        <v>11789353.543676469</v>
      </c>
      <c r="N144" s="45">
        <f t="shared" si="60"/>
        <v>42498663.711323522</v>
      </c>
      <c r="O144" s="45">
        <v>40493174.201313689</v>
      </c>
      <c r="P144" s="45">
        <v>10684622.54973104</v>
      </c>
      <c r="Q144" s="45">
        <f t="shared" si="61"/>
        <v>51177796.751044728</v>
      </c>
      <c r="R144" s="45" t="str">
        <f t="shared" si="62"/>
        <v>Yes</v>
      </c>
      <c r="S144" s="46" t="str">
        <f t="shared" si="62"/>
        <v>Yes</v>
      </c>
      <c r="T144" s="47">
        <f>ROUND(INDEX(Summary!H:H,MATCH(H:H,Summary!A:A,0)),2)</f>
        <v>2.59</v>
      </c>
      <c r="U144" s="47">
        <f>ROUND(INDEX(Summary!I:I,MATCH(H:H,Summary!A:A,0)),2)</f>
        <v>0.85</v>
      </c>
      <c r="V144" s="85">
        <f t="shared" si="63"/>
        <v>34798899.711536624</v>
      </c>
      <c r="W144" s="85">
        <f t="shared" si="63"/>
        <v>6550900.6066829599</v>
      </c>
      <c r="X144" s="45">
        <f t="shared" si="64"/>
        <v>41349800.318219587</v>
      </c>
      <c r="Y144" s="45" t="s">
        <v>3223</v>
      </c>
      <c r="Z144" s="45" t="str">
        <f t="shared" si="65"/>
        <v>No</v>
      </c>
      <c r="AA144" s="45" t="str">
        <f t="shared" si="65"/>
        <v>Yes</v>
      </c>
      <c r="AB144" s="45" t="str">
        <f t="shared" si="66"/>
        <v>Yes</v>
      </c>
      <c r="AC144" s="86">
        <f t="shared" si="79"/>
        <v>0.3</v>
      </c>
      <c r="AD144" s="86">
        <f t="shared" si="80"/>
        <v>0.37</v>
      </c>
      <c r="AE144" s="45">
        <f t="shared" si="81"/>
        <v>4030760.5843478711</v>
      </c>
      <c r="AF144" s="45">
        <f t="shared" si="81"/>
        <v>2851568.4993796414</v>
      </c>
      <c r="AG144" s="45">
        <f t="shared" si="67"/>
        <v>6882329.0837275125</v>
      </c>
      <c r="AH144" s="47">
        <f>IF(Y144="No",0,IFERROR(ROUNDDOWN(INDEX('90% of ACR'!K:K,MATCH(H:H,'90% of ACR'!A:A,0))*IF(I144&gt;0,IF(O144&gt;0,$R$4*MAX(O144-V144,0),0),0)/I144,2),0))</f>
        <v>0</v>
      </c>
      <c r="AI144" s="86">
        <f>IF(Y144="No",0,IFERROR(ROUNDDOWN(INDEX('90% of ACR'!R:R,MATCH(H:H,'90% of ACR'!A:A,0))*IF(J144&gt;0,IF(P144&gt;0,$R$4*MAX(P144-W144,0),0),0)/J144,2),0))</f>
        <v>0.28000000000000003</v>
      </c>
      <c r="AJ144" s="45">
        <f t="shared" si="68"/>
        <v>0</v>
      </c>
      <c r="AK144" s="45">
        <f t="shared" si="68"/>
        <v>2157943.7292602696</v>
      </c>
      <c r="AL144" s="47">
        <f t="shared" si="69"/>
        <v>2.59</v>
      </c>
      <c r="AM144" s="47">
        <f t="shared" si="69"/>
        <v>1.1299999999999999</v>
      </c>
      <c r="AN144" s="87">
        <f>IFERROR(INDEX(FeeCalc!P:P,MATCH(C144,FeeCalc!F:F,0)),0)</f>
        <v>43507744.047479853</v>
      </c>
      <c r="AO144" s="87">
        <f>IFERROR(INDEX(FeeCalc!S:S,MATCH(C144,FeeCalc!F:F,0)),0)</f>
        <v>2752609.7185290605</v>
      </c>
      <c r="AP144" s="87">
        <f t="shared" si="70"/>
        <v>46260353.766008914</v>
      </c>
      <c r="AQ144" s="72">
        <f t="shared" si="71"/>
        <v>19629748.434238099</v>
      </c>
      <c r="AR144" s="72">
        <f t="shared" si="72"/>
        <v>9814874.2171190493</v>
      </c>
      <c r="AS144" s="72">
        <f t="shared" si="73"/>
        <v>9814874.2171190493</v>
      </c>
      <c r="AT144" s="72">
        <f>IFERROR(IFERROR(INDEX('2023 IP UPL Data'!L:L,MATCH(A:A,'2023 IP UPL Data'!B:B,0)),INDEX('2023 IMD UPL Data'!I:I,MATCH(A:A,'2023 IMD UPL Data'!B:B,0))),0)</f>
        <v>14229672.632352944</v>
      </c>
      <c r="AU144" s="72">
        <f>IFERROR(IF(F142="IMD",0,INDEX('2023 OP UPL Data'!J:J,MATCH(A:A,'2023 OP UPL Data'!B:B,0))),0)</f>
        <v>5022207.4963235296</v>
      </c>
      <c r="AV144" s="45">
        <f t="shared" si="74"/>
        <v>19251880.128676474</v>
      </c>
      <c r="AW144" s="72">
        <f>IFERROR(IFERROR(INDEX('2023 IP UPL Data'!M:M,MATCH(A:A,'2023 IP UPL Data'!B:B,0)),INDEX('2023 IMD UPL Data'!K:K,MATCH(A:A,'2023 IMD UPL Data'!B:B,0))),0)</f>
        <v>44938982.799999997</v>
      </c>
      <c r="AX144" s="72">
        <f>IFERROR(IF(F142="IMD",0,INDEX('2023 OP UPL Data'!L:L,MATCH(A:A,'2023 OP UPL Data'!B:B,0))),0)</f>
        <v>16811561.039999999</v>
      </c>
      <c r="AY144" s="45">
        <f t="shared" si="75"/>
        <v>61750543.839999996</v>
      </c>
      <c r="AZ144" s="72">
        <v>54722846.83366663</v>
      </c>
      <c r="BA144" s="72">
        <v>15706830.04605457</v>
      </c>
      <c r="BB144" s="72">
        <f t="shared" si="76"/>
        <v>19923947.122130007</v>
      </c>
      <c r="BC144" s="72">
        <f t="shared" si="76"/>
        <v>9155929.4393716101</v>
      </c>
      <c r="BD144" s="72">
        <f t="shared" si="77"/>
        <v>29079876.561501607</v>
      </c>
      <c r="BE144" s="94">
        <f t="shared" si="78"/>
        <v>9783864.0336666331</v>
      </c>
      <c r="BF144" s="94">
        <f t="shared" si="78"/>
        <v>0</v>
      </c>
      <c r="BG144" s="73">
        <f>IFERROR(INDEX('2023 IP UPL Data'!K:K,MATCH(A144,'2023 IP UPL Data'!B:B,0)),0)</f>
        <v>0</v>
      </c>
    </row>
    <row r="145" spans="1:59">
      <c r="A145" s="124" t="s">
        <v>1316</v>
      </c>
      <c r="B145" s="149" t="s">
        <v>1316</v>
      </c>
      <c r="C145" s="31" t="s">
        <v>1317</v>
      </c>
      <c r="D145" s="181" t="s">
        <v>1317</v>
      </c>
      <c r="E145" s="144" t="s">
        <v>3503</v>
      </c>
      <c r="F145" s="120" t="s">
        <v>2718</v>
      </c>
      <c r="G145" s="120" t="s">
        <v>300</v>
      </c>
      <c r="H145" s="43" t="str">
        <f t="shared" si="58"/>
        <v>Urban Harris</v>
      </c>
      <c r="I145" s="45">
        <f>INDEX(FeeCalc!M:M,MATCH(C:C,FeeCalc!F:F,0))</f>
        <v>3990292.333000131</v>
      </c>
      <c r="J145" s="45">
        <f>INDEX(FeeCalc!L:L,MATCH(C:C,FeeCalc!F:F,0))</f>
        <v>3156383.9045276348</v>
      </c>
      <c r="K145" s="45">
        <f t="shared" si="59"/>
        <v>7146676.2375277653</v>
      </c>
      <c r="L145" s="45">
        <f>IFERROR(IFERROR(INDEX('2023 IP UPL Data'!N:N,MATCH(A:A,'2023 IP UPL Data'!B:B,0)),INDEX('2023 IMD UPL Data'!M:M,MATCH(A:A,'2023 IMD UPL Data'!B:B,0))),0)</f>
        <v>5268496.3251470588</v>
      </c>
      <c r="M145" s="45">
        <f>IFERROR((IF(F145="IMD",0,INDEX('2023 OP UPL Data'!M:M,MATCH(A:A,'2023 OP UPL Data'!B:B,0)))),0)</f>
        <v>3980104.3175000004</v>
      </c>
      <c r="N145" s="45">
        <f t="shared" si="60"/>
        <v>9248600.6426470596</v>
      </c>
      <c r="O145" s="45">
        <v>8775649.7365239542</v>
      </c>
      <c r="P145" s="45">
        <v>4687057.9227209352</v>
      </c>
      <c r="Q145" s="45">
        <f t="shared" si="61"/>
        <v>13462707.659244889</v>
      </c>
      <c r="R145" s="45" t="str">
        <f t="shared" si="62"/>
        <v>Yes</v>
      </c>
      <c r="S145" s="46" t="str">
        <f t="shared" si="62"/>
        <v>Yes</v>
      </c>
      <c r="T145" s="47">
        <f>ROUND(INDEX(Summary!H:H,MATCH(H:H,Summary!A:A,0)),2)</f>
        <v>2.59</v>
      </c>
      <c r="U145" s="47">
        <f>ROUND(INDEX(Summary!I:I,MATCH(H:H,Summary!A:A,0)),2)</f>
        <v>0.85</v>
      </c>
      <c r="V145" s="85">
        <f t="shared" si="63"/>
        <v>10334857.142470339</v>
      </c>
      <c r="W145" s="85">
        <f t="shared" si="63"/>
        <v>2682926.3188484893</v>
      </c>
      <c r="X145" s="45">
        <f t="shared" si="64"/>
        <v>13017783.461318828</v>
      </c>
      <c r="Y145" s="45" t="s">
        <v>3223</v>
      </c>
      <c r="Z145" s="45" t="str">
        <f t="shared" si="65"/>
        <v>No</v>
      </c>
      <c r="AA145" s="45" t="str">
        <f t="shared" si="65"/>
        <v>Yes</v>
      </c>
      <c r="AB145" s="45" t="str">
        <f t="shared" si="66"/>
        <v>Yes</v>
      </c>
      <c r="AC145" s="86">
        <f t="shared" si="79"/>
        <v>0</v>
      </c>
      <c r="AD145" s="86">
        <f t="shared" si="80"/>
        <v>0.44</v>
      </c>
      <c r="AE145" s="45">
        <f t="shared" si="81"/>
        <v>0</v>
      </c>
      <c r="AF145" s="45">
        <f t="shared" si="81"/>
        <v>1388808.9179921593</v>
      </c>
      <c r="AG145" s="45">
        <f t="shared" si="67"/>
        <v>1388808.9179921593</v>
      </c>
      <c r="AH145" s="47">
        <f>IF(Y145="No",0,IFERROR(ROUNDDOWN(INDEX('90% of ACR'!K:K,MATCH(H:H,'90% of ACR'!A:A,0))*IF(I145&gt;0,IF(O145&gt;0,$R$4*MAX(O145-V145,0),0),0)/I145,2),0))</f>
        <v>0</v>
      </c>
      <c r="AI145" s="86">
        <f>IF(Y145="No",0,IFERROR(ROUNDDOWN(INDEX('90% of ACR'!R:R,MATCH(H:H,'90% of ACR'!A:A,0))*IF(J145&gt;0,IF(P145&gt;0,$R$4*MAX(P145-W145,0),0),0)/J145,2),0))</f>
        <v>0.33</v>
      </c>
      <c r="AJ145" s="45">
        <f t="shared" si="68"/>
        <v>0</v>
      </c>
      <c r="AK145" s="45">
        <f t="shared" si="68"/>
        <v>1041606.6884941196</v>
      </c>
      <c r="AL145" s="47">
        <f t="shared" si="69"/>
        <v>2.59</v>
      </c>
      <c r="AM145" s="47">
        <f t="shared" si="69"/>
        <v>1.18</v>
      </c>
      <c r="AN145" s="87">
        <f>IFERROR(INDEX(FeeCalc!P:P,MATCH(C145,FeeCalc!F:F,0)),0)</f>
        <v>14059390.149812948</v>
      </c>
      <c r="AO145" s="87">
        <f>IFERROR(INDEX(FeeCalc!S:S,MATCH(C145,FeeCalc!F:F,0)),0)</f>
        <v>874995.65098216722</v>
      </c>
      <c r="AP145" s="87">
        <f t="shared" si="70"/>
        <v>14934385.800795116</v>
      </c>
      <c r="AQ145" s="72">
        <f t="shared" si="71"/>
        <v>6337137.7956229942</v>
      </c>
      <c r="AR145" s="72">
        <f t="shared" si="72"/>
        <v>3168568.8978114971</v>
      </c>
      <c r="AS145" s="72">
        <f t="shared" si="73"/>
        <v>3168568.8978114971</v>
      </c>
      <c r="AT145" s="72">
        <f>IFERROR(IFERROR(INDEX('2023 IP UPL Data'!L:L,MATCH(A:A,'2023 IP UPL Data'!B:B,0)),INDEX('2023 IMD UPL Data'!I:I,MATCH(A:A,'2023 IMD UPL Data'!B:B,0))),0)</f>
        <v>3636085.9448529407</v>
      </c>
      <c r="AU145" s="72">
        <f>IFERROR(IF(F143="IMD",0,INDEX('2023 OP UPL Data'!J:J,MATCH(A:A,'2023 OP UPL Data'!B:B,0))),0)</f>
        <v>1681479.0624999995</v>
      </c>
      <c r="AV145" s="45">
        <f t="shared" si="74"/>
        <v>5317565.0073529407</v>
      </c>
      <c r="AW145" s="72">
        <f>IFERROR(IFERROR(INDEX('2023 IP UPL Data'!M:M,MATCH(A:A,'2023 IP UPL Data'!B:B,0)),INDEX('2023 IMD UPL Data'!K:K,MATCH(A:A,'2023 IMD UPL Data'!B:B,0))),0)</f>
        <v>8904582.2699999996</v>
      </c>
      <c r="AX145" s="72">
        <f>IFERROR(IF(F143="IMD",0,INDEX('2023 OP UPL Data'!L:L,MATCH(A:A,'2023 OP UPL Data'!B:B,0))),0)</f>
        <v>5661583.3799999999</v>
      </c>
      <c r="AY145" s="45">
        <f t="shared" si="75"/>
        <v>14566165.649999999</v>
      </c>
      <c r="AZ145" s="72">
        <v>12411735.681376895</v>
      </c>
      <c r="BA145" s="72">
        <v>6368536.9852209352</v>
      </c>
      <c r="BB145" s="72">
        <f t="shared" si="76"/>
        <v>2076878.5389065556</v>
      </c>
      <c r="BC145" s="72">
        <f t="shared" si="76"/>
        <v>3685610.6663724459</v>
      </c>
      <c r="BD145" s="72">
        <f t="shared" si="77"/>
        <v>5762489.2052790001</v>
      </c>
      <c r="BE145" s="94">
        <f t="shared" si="78"/>
        <v>3507153.4113768954</v>
      </c>
      <c r="BF145" s="94">
        <f t="shared" si="78"/>
        <v>706953.60522093531</v>
      </c>
      <c r="BG145" s="73">
        <f>IFERROR(INDEX('2023 IP UPL Data'!K:K,MATCH(A145,'2023 IP UPL Data'!B:B,0)),0)</f>
        <v>0</v>
      </c>
    </row>
    <row r="146" spans="1:59">
      <c r="A146" s="124" t="s">
        <v>2731</v>
      </c>
      <c r="B146" s="149" t="s">
        <v>2731</v>
      </c>
      <c r="C146" s="31" t="s">
        <v>672</v>
      </c>
      <c r="D146" s="181" t="s">
        <v>672</v>
      </c>
      <c r="E146" s="144" t="s">
        <v>2998</v>
      </c>
      <c r="F146" s="120" t="s">
        <v>2718</v>
      </c>
      <c r="G146" s="120" t="s">
        <v>1530</v>
      </c>
      <c r="H146" s="43" t="str">
        <f t="shared" si="58"/>
        <v>Urban Lubbock</v>
      </c>
      <c r="I146" s="45">
        <f>INDEX(FeeCalc!M:M,MATCH(C:C,FeeCalc!F:F,0))</f>
        <v>4526428.844060095</v>
      </c>
      <c r="J146" s="45">
        <f>INDEX(FeeCalc!L:L,MATCH(C:C,FeeCalc!F:F,0))</f>
        <v>2337964.1012965473</v>
      </c>
      <c r="K146" s="45">
        <f t="shared" si="59"/>
        <v>6864392.9453566428</v>
      </c>
      <c r="L146" s="45">
        <f>IFERROR(IFERROR(INDEX('2023 IP UPL Data'!N:N,MATCH(A:A,'2023 IP UPL Data'!B:B,0)),INDEX('2023 IMD UPL Data'!M:M,MATCH(A:A,'2023 IMD UPL Data'!B:B,0))),0)</f>
        <v>4424322.8337500002</v>
      </c>
      <c r="M146" s="45">
        <f>IFERROR((IF(F146="IMD",0,INDEX('2023 OP UPL Data'!M:M,MATCH(A:A,'2023 OP UPL Data'!B:B,0)))),0)</f>
        <v>5283355.5875000004</v>
      </c>
      <c r="N146" s="45">
        <f t="shared" si="60"/>
        <v>9707678.4212500006</v>
      </c>
      <c r="O146" s="45">
        <v>16708910.54172338</v>
      </c>
      <c r="P146" s="45">
        <v>8369862.4948811308</v>
      </c>
      <c r="Q146" s="45">
        <f t="shared" si="61"/>
        <v>25078773.036604509</v>
      </c>
      <c r="R146" s="45" t="str">
        <f t="shared" si="62"/>
        <v>Yes</v>
      </c>
      <c r="S146" s="46" t="str">
        <f t="shared" si="62"/>
        <v>Yes</v>
      </c>
      <c r="T146" s="47">
        <f>ROUND(INDEX(Summary!H:H,MATCH(H:H,Summary!A:A,0)),2)</f>
        <v>0</v>
      </c>
      <c r="U146" s="47">
        <f>ROUND(INDEX(Summary!I:I,MATCH(H:H,Summary!A:A,0)),2)</f>
        <v>0.96</v>
      </c>
      <c r="V146" s="85">
        <f t="shared" si="63"/>
        <v>0</v>
      </c>
      <c r="W146" s="85">
        <f t="shared" si="63"/>
        <v>2244445.5372446855</v>
      </c>
      <c r="X146" s="45">
        <f t="shared" si="64"/>
        <v>2244445.5372446855</v>
      </c>
      <c r="Y146" s="45" t="s">
        <v>3223</v>
      </c>
      <c r="Z146" s="45" t="str">
        <f t="shared" si="65"/>
        <v>Yes</v>
      </c>
      <c r="AA146" s="45" t="str">
        <f t="shared" si="65"/>
        <v>Yes</v>
      </c>
      <c r="AB146" s="45" t="str">
        <f t="shared" si="66"/>
        <v>Yes</v>
      </c>
      <c r="AC146" s="86">
        <f t="shared" si="79"/>
        <v>2.57</v>
      </c>
      <c r="AD146" s="86">
        <f t="shared" si="80"/>
        <v>1.83</v>
      </c>
      <c r="AE146" s="45">
        <f t="shared" si="81"/>
        <v>11632922.129234444</v>
      </c>
      <c r="AF146" s="45">
        <f t="shared" si="81"/>
        <v>4278474.3053726815</v>
      </c>
      <c r="AG146" s="45">
        <f t="shared" si="67"/>
        <v>15911396.434607126</v>
      </c>
      <c r="AH146" s="47">
        <f>IF(Y146="No",0,IFERROR(ROUNDDOWN(INDEX('90% of ACR'!K:K,MATCH(H:H,'90% of ACR'!A:A,0))*IF(I146&gt;0,IF(O146&gt;0,$R$4*MAX(O146-V146,0),0),0)/I146,2),0))</f>
        <v>0.57999999999999996</v>
      </c>
      <c r="AI146" s="86">
        <f>IF(Y146="No",0,IFERROR(ROUNDDOWN(INDEX('90% of ACR'!R:R,MATCH(H:H,'90% of ACR'!A:A,0))*IF(J146&gt;0,IF(P146&gt;0,$R$4*MAX(P146-W146,0),0),0)/J146,2),0))</f>
        <v>1.8</v>
      </c>
      <c r="AJ146" s="45">
        <f t="shared" si="68"/>
        <v>2625328.7295548548</v>
      </c>
      <c r="AK146" s="45">
        <f t="shared" si="68"/>
        <v>4208335.3823337853</v>
      </c>
      <c r="AL146" s="47">
        <f t="shared" si="69"/>
        <v>0.57999999999999996</v>
      </c>
      <c r="AM146" s="47">
        <f t="shared" si="69"/>
        <v>2.76</v>
      </c>
      <c r="AN146" s="87">
        <f>IFERROR(INDEX(FeeCalc!P:P,MATCH(C146,FeeCalc!F:F,0)),0)</f>
        <v>9078109.6491333246</v>
      </c>
      <c r="AO146" s="87">
        <f>IFERROR(INDEX(FeeCalc!S:S,MATCH(C146,FeeCalc!F:F,0)),0)</f>
        <v>564860.82277390314</v>
      </c>
      <c r="AP146" s="87">
        <f t="shared" si="70"/>
        <v>9642970.4719072282</v>
      </c>
      <c r="AQ146" s="72">
        <f t="shared" si="71"/>
        <v>4091820.9462853386</v>
      </c>
      <c r="AR146" s="72">
        <f t="shared" si="72"/>
        <v>2045910.4731426693</v>
      </c>
      <c r="AS146" s="72">
        <f t="shared" si="73"/>
        <v>2045910.4731426693</v>
      </c>
      <c r="AT146" s="72">
        <f>IFERROR(IFERROR(INDEX('2023 IP UPL Data'!L:L,MATCH(A:A,'2023 IP UPL Data'!B:B,0)),INDEX('2023 IMD UPL Data'!I:I,MATCH(A:A,'2023 IMD UPL Data'!B:B,0))),0)</f>
        <v>5313856.9562499989</v>
      </c>
      <c r="AU146" s="72">
        <f>IFERROR(IF(F144="IMD",0,INDEX('2023 OP UPL Data'!J:J,MATCH(A:A,'2023 OP UPL Data'!B:B,0))),0)</f>
        <v>1630163.7124999999</v>
      </c>
      <c r="AV146" s="45">
        <f t="shared" si="74"/>
        <v>6944020.6687499993</v>
      </c>
      <c r="AW146" s="72">
        <f>IFERROR(IFERROR(INDEX('2023 IP UPL Data'!M:M,MATCH(A:A,'2023 IP UPL Data'!B:B,0)),INDEX('2023 IMD UPL Data'!K:K,MATCH(A:A,'2023 IMD UPL Data'!B:B,0))),0)</f>
        <v>9738179.7899999991</v>
      </c>
      <c r="AX146" s="72">
        <f>IFERROR(IF(F144="IMD",0,INDEX('2023 OP UPL Data'!L:L,MATCH(A:A,'2023 OP UPL Data'!B:B,0))),0)</f>
        <v>6913519.2999999998</v>
      </c>
      <c r="AY146" s="45">
        <f t="shared" si="75"/>
        <v>16651699.09</v>
      </c>
      <c r="AZ146" s="72">
        <v>22022767.497973379</v>
      </c>
      <c r="BA146" s="72">
        <v>10000026.207381131</v>
      </c>
      <c r="BB146" s="72">
        <f t="shared" si="76"/>
        <v>22022767.497973379</v>
      </c>
      <c r="BC146" s="72">
        <f t="shared" si="76"/>
        <v>7755580.6701364461</v>
      </c>
      <c r="BD146" s="72">
        <f t="shared" si="77"/>
        <v>29778348.168109827</v>
      </c>
      <c r="BE146" s="94">
        <f t="shared" si="78"/>
        <v>12284587.70797338</v>
      </c>
      <c r="BF146" s="94">
        <f t="shared" si="78"/>
        <v>3086506.9073811313</v>
      </c>
      <c r="BG146" s="73">
        <f>IFERROR(INDEX('2023 IP UPL Data'!K:K,MATCH(A146,'2023 IP UPL Data'!B:B,0)),0)</f>
        <v>0</v>
      </c>
    </row>
    <row r="147" spans="1:59">
      <c r="A147" s="124" t="s">
        <v>883</v>
      </c>
      <c r="B147" s="149" t="s">
        <v>883</v>
      </c>
      <c r="C147" s="31" t="s">
        <v>884</v>
      </c>
      <c r="D147" s="181" t="s">
        <v>884</v>
      </c>
      <c r="E147" s="144" t="s">
        <v>3504</v>
      </c>
      <c r="F147" s="120" t="s">
        <v>1552</v>
      </c>
      <c r="G147" s="120" t="s">
        <v>1530</v>
      </c>
      <c r="H147" s="43" t="str">
        <f t="shared" si="58"/>
        <v>Children's Lubbock</v>
      </c>
      <c r="I147" s="45">
        <f>INDEX(FeeCalc!M:M,MATCH(C:C,FeeCalc!F:F,0))</f>
        <v>26741810.36009166</v>
      </c>
      <c r="J147" s="45">
        <f>INDEX(FeeCalc!L:L,MATCH(C:C,FeeCalc!F:F,0))</f>
        <v>7796302.4529058887</v>
      </c>
      <c r="K147" s="45">
        <f t="shared" si="59"/>
        <v>34538112.81299755</v>
      </c>
      <c r="L147" s="45">
        <f>IFERROR(IFERROR(INDEX('2023 IP UPL Data'!N:N,MATCH(A:A,'2023 IP UPL Data'!B:B,0)),INDEX('2023 IMD UPL Data'!M:M,MATCH(A:A,'2023 IMD UPL Data'!B:B,0))),0)</f>
        <v>20987647.937966101</v>
      </c>
      <c r="M147" s="45">
        <f>IFERROR((IF(F147="IMD",0,INDEX('2023 OP UPL Data'!M:M,MATCH(A:A,'2023 OP UPL Data'!B:B,0)))),0)</f>
        <v>12237124.342372883</v>
      </c>
      <c r="N147" s="45">
        <f t="shared" si="60"/>
        <v>33224772.280338984</v>
      </c>
      <c r="O147" s="45">
        <v>17612804.786233917</v>
      </c>
      <c r="P147" s="45">
        <v>29241919.079181448</v>
      </c>
      <c r="Q147" s="45">
        <f t="shared" si="61"/>
        <v>46854723.865415365</v>
      </c>
      <c r="R147" s="45" t="str">
        <f t="shared" si="62"/>
        <v>Yes</v>
      </c>
      <c r="S147" s="46" t="str">
        <f t="shared" si="62"/>
        <v>Yes</v>
      </c>
      <c r="T147" s="47">
        <f>ROUND(INDEX(Summary!H:H,MATCH(H:H,Summary!A:A,0)),2)</f>
        <v>0.78</v>
      </c>
      <c r="U147" s="47">
        <f>ROUND(INDEX(Summary!I:I,MATCH(H:H,Summary!A:A,0)),2)</f>
        <v>1.57</v>
      </c>
      <c r="V147" s="85">
        <f t="shared" si="63"/>
        <v>20858612.080871496</v>
      </c>
      <c r="W147" s="85">
        <f t="shared" si="63"/>
        <v>12240194.851062246</v>
      </c>
      <c r="X147" s="45">
        <f t="shared" si="64"/>
        <v>33098806.931933742</v>
      </c>
      <c r="Y147" s="45" t="s">
        <v>3223</v>
      </c>
      <c r="Z147" s="45" t="str">
        <f t="shared" si="65"/>
        <v>No</v>
      </c>
      <c r="AA147" s="45" t="str">
        <f t="shared" si="65"/>
        <v>Yes</v>
      </c>
      <c r="AB147" s="45" t="str">
        <f t="shared" si="66"/>
        <v>Yes</v>
      </c>
      <c r="AC147" s="86">
        <f t="shared" si="79"/>
        <v>0</v>
      </c>
      <c r="AD147" s="86">
        <f t="shared" si="80"/>
        <v>1.52</v>
      </c>
      <c r="AE147" s="45">
        <f t="shared" si="81"/>
        <v>0</v>
      </c>
      <c r="AF147" s="45">
        <f t="shared" si="81"/>
        <v>11850379.728416951</v>
      </c>
      <c r="AG147" s="45">
        <f t="shared" si="67"/>
        <v>11850379.728416951</v>
      </c>
      <c r="AH147" s="47">
        <f>IF(Y147="No",0,IFERROR(ROUNDDOWN(INDEX('90% of ACR'!K:K,MATCH(H:H,'90% of ACR'!A:A,0))*IF(I147&gt;0,IF(O147&gt;0,$R$4*MAX(O147-V147,0),0),0)/I147,2),0))</f>
        <v>0</v>
      </c>
      <c r="AI147" s="86">
        <f>IF(Y147="No",0,IFERROR(ROUNDDOWN(INDEX('90% of ACR'!R:R,MATCH(H:H,'90% of ACR'!A:A,0))*IF(J147&gt;0,IF(P147&gt;0,$R$4*MAX(P147-W147,0),0),0)/J147,2),0))</f>
        <v>1.51</v>
      </c>
      <c r="AJ147" s="45">
        <f t="shared" si="68"/>
        <v>0</v>
      </c>
      <c r="AK147" s="45">
        <f t="shared" si="68"/>
        <v>11772416.703887893</v>
      </c>
      <c r="AL147" s="47">
        <f t="shared" si="69"/>
        <v>0.78</v>
      </c>
      <c r="AM147" s="47">
        <f t="shared" si="69"/>
        <v>3.08</v>
      </c>
      <c r="AN147" s="87">
        <f>IFERROR(INDEX(FeeCalc!P:P,MATCH(C147,FeeCalc!F:F,0)),0)</f>
        <v>44871223.635821633</v>
      </c>
      <c r="AO147" s="87">
        <f>IFERROR(INDEX(FeeCalc!S:S,MATCH(C147,FeeCalc!F:F,0)),0)</f>
        <v>2752774.6286253189</v>
      </c>
      <c r="AP147" s="87">
        <f t="shared" si="70"/>
        <v>47623998.264446951</v>
      </c>
      <c r="AQ147" s="72">
        <f t="shared" si="71"/>
        <v>20208386.431549307</v>
      </c>
      <c r="AR147" s="72">
        <f t="shared" si="72"/>
        <v>10104193.215774653</v>
      </c>
      <c r="AS147" s="72">
        <f t="shared" si="73"/>
        <v>10104193.215774653</v>
      </c>
      <c r="AT147" s="72">
        <f>IFERROR(IFERROR(INDEX('2023 IP UPL Data'!L:L,MATCH(A:A,'2023 IP UPL Data'!B:B,0)),INDEX('2023 IMD UPL Data'!I:I,MATCH(A:A,'2023 IMD UPL Data'!B:B,0))),0)</f>
        <v>22115185.822033897</v>
      </c>
      <c r="AU147" s="72">
        <f>IFERROR(IF(F145="IMD",0,INDEX('2023 OP UPL Data'!J:J,MATCH(A:A,'2023 OP UPL Data'!B:B,0))),0)</f>
        <v>5244843.9576271186</v>
      </c>
      <c r="AV147" s="45">
        <f t="shared" si="74"/>
        <v>27360029.779661015</v>
      </c>
      <c r="AW147" s="72">
        <f>IFERROR(IFERROR(INDEX('2023 IP UPL Data'!M:M,MATCH(A:A,'2023 IP UPL Data'!B:B,0)),INDEX('2023 IMD UPL Data'!K:K,MATCH(A:A,'2023 IMD UPL Data'!B:B,0))),0)</f>
        <v>43102833.759999998</v>
      </c>
      <c r="AX147" s="72">
        <f>IFERROR(IF(F145="IMD",0,INDEX('2023 OP UPL Data'!L:L,MATCH(A:A,'2023 OP UPL Data'!B:B,0))),0)</f>
        <v>17481968.300000001</v>
      </c>
      <c r="AY147" s="45">
        <f t="shared" si="75"/>
        <v>60584802.060000002</v>
      </c>
      <c r="AZ147" s="72">
        <v>39727990.608267814</v>
      </c>
      <c r="BA147" s="72">
        <v>34486763.036808565</v>
      </c>
      <c r="BB147" s="72">
        <f t="shared" si="76"/>
        <v>18869378.527396318</v>
      </c>
      <c r="BC147" s="72">
        <f t="shared" si="76"/>
        <v>22246568.18574632</v>
      </c>
      <c r="BD147" s="72">
        <f t="shared" si="77"/>
        <v>41115946.713142633</v>
      </c>
      <c r="BE147" s="94">
        <f t="shared" si="78"/>
        <v>0</v>
      </c>
      <c r="BF147" s="94">
        <f t="shared" si="78"/>
        <v>17004794.736808565</v>
      </c>
      <c r="BG147" s="73">
        <f>IFERROR(INDEX('2023 IP UPL Data'!K:K,MATCH(A147,'2023 IP UPL Data'!B:B,0)),0)</f>
        <v>0</v>
      </c>
    </row>
    <row r="148" spans="1:59">
      <c r="A148" s="124" t="s">
        <v>871</v>
      </c>
      <c r="B148" s="149" t="s">
        <v>871</v>
      </c>
      <c r="C148" s="31" t="s">
        <v>872</v>
      </c>
      <c r="D148" s="181" t="s">
        <v>872</v>
      </c>
      <c r="E148" s="144" t="s">
        <v>3505</v>
      </c>
      <c r="F148" s="120" t="s">
        <v>2768</v>
      </c>
      <c r="G148" s="120" t="s">
        <v>1530</v>
      </c>
      <c r="H148" s="43" t="str">
        <f t="shared" si="58"/>
        <v>Rural Lubbock</v>
      </c>
      <c r="I148" s="45">
        <f>INDEX(FeeCalc!M:M,MATCH(C:C,FeeCalc!F:F,0))</f>
        <v>1510559.0367065703</v>
      </c>
      <c r="J148" s="45">
        <f>INDEX(FeeCalc!L:L,MATCH(C:C,FeeCalc!F:F,0))</f>
        <v>1029868.2734266191</v>
      </c>
      <c r="K148" s="45">
        <f t="shared" si="59"/>
        <v>2540427.3101331894</v>
      </c>
      <c r="L148" s="45">
        <f>IFERROR(IFERROR(INDEX('2023 IP UPL Data'!N:N,MATCH(A:A,'2023 IP UPL Data'!B:B,0)),INDEX('2023 IMD UPL Data'!M:M,MATCH(A:A,'2023 IMD UPL Data'!B:B,0))),0)</f>
        <v>680450.3792586273</v>
      </c>
      <c r="M148" s="45">
        <f>IFERROR((IF(F148="IMD",0,INDEX('2023 OP UPL Data'!M:M,MATCH(A:A,'2023 OP UPL Data'!B:B,0)))),0)</f>
        <v>816477.91648648644</v>
      </c>
      <c r="N148" s="45">
        <f t="shared" si="60"/>
        <v>1496928.2957451139</v>
      </c>
      <c r="O148" s="45">
        <v>369644.18794380245</v>
      </c>
      <c r="P148" s="45">
        <v>-329025.41143342754</v>
      </c>
      <c r="Q148" s="45">
        <f t="shared" si="61"/>
        <v>40618.776510374912</v>
      </c>
      <c r="R148" s="45" t="str">
        <f t="shared" si="62"/>
        <v>Yes</v>
      </c>
      <c r="S148" s="46" t="str">
        <f t="shared" si="62"/>
        <v>No</v>
      </c>
      <c r="T148" s="47">
        <f>ROUND(INDEX(Summary!H:H,MATCH(H:H,Summary!A:A,0)),2)</f>
        <v>0.32</v>
      </c>
      <c r="U148" s="47">
        <f>ROUND(INDEX(Summary!I:I,MATCH(H:H,Summary!A:A,0)),2)</f>
        <v>0.36</v>
      </c>
      <c r="V148" s="85">
        <f t="shared" si="63"/>
        <v>483378.89174610248</v>
      </c>
      <c r="W148" s="85">
        <f t="shared" si="63"/>
        <v>370752.57843358285</v>
      </c>
      <c r="X148" s="45">
        <f t="shared" si="64"/>
        <v>854131.47017968539</v>
      </c>
      <c r="Y148" s="45" t="s">
        <v>3223</v>
      </c>
      <c r="Z148" s="45" t="str">
        <f t="shared" si="65"/>
        <v>No</v>
      </c>
      <c r="AA148" s="45" t="str">
        <f t="shared" si="65"/>
        <v>No</v>
      </c>
      <c r="AB148" s="45" t="str">
        <f t="shared" si="66"/>
        <v>No</v>
      </c>
      <c r="AC148" s="86">
        <f t="shared" si="79"/>
        <v>0</v>
      </c>
      <c r="AD148" s="86">
        <f t="shared" si="80"/>
        <v>0</v>
      </c>
      <c r="AE148" s="45">
        <f t="shared" si="81"/>
        <v>0</v>
      </c>
      <c r="AF148" s="45">
        <f t="shared" si="81"/>
        <v>0</v>
      </c>
      <c r="AG148" s="45">
        <f t="shared" si="67"/>
        <v>0</v>
      </c>
      <c r="AH148" s="47">
        <f>IF(Y148="No",0,IFERROR(ROUNDDOWN(INDEX('90% of ACR'!K:K,MATCH(H:H,'90% of ACR'!A:A,0))*IF(I148&gt;0,IF(O148&gt;0,$R$4*MAX(O148-V148,0),0),0)/I148,2),0))</f>
        <v>0</v>
      </c>
      <c r="AI148" s="86">
        <f>IF(Y148="No",0,IFERROR(ROUNDDOWN(INDEX('90% of ACR'!R:R,MATCH(H:H,'90% of ACR'!A:A,0))*IF(J148&gt;0,IF(P148&gt;0,$R$4*MAX(P148-W148,0),0),0)/J148,2),0))</f>
        <v>0</v>
      </c>
      <c r="AJ148" s="45">
        <f t="shared" si="68"/>
        <v>0</v>
      </c>
      <c r="AK148" s="45">
        <f t="shared" si="68"/>
        <v>0</v>
      </c>
      <c r="AL148" s="47">
        <f t="shared" si="69"/>
        <v>0.32</v>
      </c>
      <c r="AM148" s="47">
        <f t="shared" si="69"/>
        <v>0.36</v>
      </c>
      <c r="AN148" s="87">
        <f>IFERROR(INDEX(FeeCalc!P:P,MATCH(C148,FeeCalc!F:F,0)),0)</f>
        <v>854131.47017968539</v>
      </c>
      <c r="AO148" s="87">
        <f>IFERROR(INDEX(FeeCalc!S:S,MATCH(C148,FeeCalc!F:F,0)),0)</f>
        <v>52280.479677653158</v>
      </c>
      <c r="AP148" s="87">
        <f t="shared" si="70"/>
        <v>906411.94985733856</v>
      </c>
      <c r="AQ148" s="72">
        <f t="shared" si="71"/>
        <v>384619.59550686425</v>
      </c>
      <c r="AR148" s="72">
        <f t="shared" si="72"/>
        <v>192309.79775343213</v>
      </c>
      <c r="AS148" s="72">
        <f t="shared" si="73"/>
        <v>192309.79775343213</v>
      </c>
      <c r="AT148" s="72">
        <f>IFERROR(IFERROR(INDEX('2023 IP UPL Data'!L:L,MATCH(A:A,'2023 IP UPL Data'!B:B,0)),INDEX('2023 IMD UPL Data'!I:I,MATCH(A:A,'2023 IMD UPL Data'!B:B,0))),0)</f>
        <v>1626035.1107413729</v>
      </c>
      <c r="AU148" s="72">
        <f>IFERROR(IF(F146="IMD",0,INDEX('2023 OP UPL Data'!J:J,MATCH(A:A,'2023 OP UPL Data'!B:B,0))),0)</f>
        <v>522298.72351351345</v>
      </c>
      <c r="AV148" s="45">
        <f t="shared" si="74"/>
        <v>2148333.8342548865</v>
      </c>
      <c r="AW148" s="72">
        <f>IFERROR(IFERROR(INDEX('2023 IP UPL Data'!M:M,MATCH(A:A,'2023 IP UPL Data'!B:B,0)),INDEX('2023 IMD UPL Data'!K:K,MATCH(A:A,'2023 IMD UPL Data'!B:B,0))),0)</f>
        <v>2306485.4900000002</v>
      </c>
      <c r="AX148" s="72">
        <f>IFERROR(IF(F146="IMD",0,INDEX('2023 OP UPL Data'!L:L,MATCH(A:A,'2023 OP UPL Data'!B:B,0))),0)</f>
        <v>1338776.6399999999</v>
      </c>
      <c r="AY148" s="45">
        <f t="shared" si="75"/>
        <v>3645262.13</v>
      </c>
      <c r="AZ148" s="72">
        <v>1995679.2986851754</v>
      </c>
      <c r="BA148" s="72">
        <v>193273.31208008592</v>
      </c>
      <c r="BB148" s="72">
        <f t="shared" si="76"/>
        <v>1512300.406939073</v>
      </c>
      <c r="BC148" s="72">
        <f t="shared" si="76"/>
        <v>0</v>
      </c>
      <c r="BD148" s="72">
        <f t="shared" si="77"/>
        <v>1334821.1405855757</v>
      </c>
      <c r="BE148" s="94">
        <f t="shared" si="78"/>
        <v>0</v>
      </c>
      <c r="BF148" s="94">
        <f t="shared" si="78"/>
        <v>0</v>
      </c>
      <c r="BG148" s="73">
        <f>IFERROR(INDEX('2023 IP UPL Data'!K:K,MATCH(A148,'2023 IP UPL Data'!B:B,0)),0)</f>
        <v>0</v>
      </c>
    </row>
    <row r="149" spans="1:59">
      <c r="A149" s="124" t="s">
        <v>877</v>
      </c>
      <c r="B149" s="149" t="s">
        <v>877</v>
      </c>
      <c r="C149" s="31" t="s">
        <v>878</v>
      </c>
      <c r="D149" s="181" t="s">
        <v>878</v>
      </c>
      <c r="E149" s="144" t="s">
        <v>3506</v>
      </c>
      <c r="F149" s="120" t="s">
        <v>2768</v>
      </c>
      <c r="G149" s="120" t="s">
        <v>1530</v>
      </c>
      <c r="H149" s="43" t="str">
        <f t="shared" si="58"/>
        <v>Rural Lubbock</v>
      </c>
      <c r="I149" s="45">
        <f>INDEX(FeeCalc!M:M,MATCH(C:C,FeeCalc!F:F,0))</f>
        <v>2569537.6223240281</v>
      </c>
      <c r="J149" s="45">
        <f>INDEX(FeeCalc!L:L,MATCH(C:C,FeeCalc!F:F,0))</f>
        <v>2060907.8772588032</v>
      </c>
      <c r="K149" s="45">
        <f t="shared" si="59"/>
        <v>4630445.4995828308</v>
      </c>
      <c r="L149" s="45">
        <f>IFERROR(IFERROR(INDEX('2023 IP UPL Data'!N:N,MATCH(A:A,'2023 IP UPL Data'!B:B,0)),INDEX('2023 IMD UPL Data'!M:M,MATCH(A:A,'2023 IMD UPL Data'!B:B,0))),0)</f>
        <v>116030.55331719108</v>
      </c>
      <c r="M149" s="45">
        <f>IFERROR((IF(F149="IMD",0,INDEX('2023 OP UPL Data'!M:M,MATCH(A:A,'2023 OP UPL Data'!B:B,0)))),0)</f>
        <v>1885554.0524324323</v>
      </c>
      <c r="N149" s="45">
        <f t="shared" si="60"/>
        <v>2001584.6057496234</v>
      </c>
      <c r="O149" s="45">
        <v>800179.28725996567</v>
      </c>
      <c r="P149" s="45">
        <v>3243870.1828804249</v>
      </c>
      <c r="Q149" s="45">
        <f t="shared" si="61"/>
        <v>4044049.4701403906</v>
      </c>
      <c r="R149" s="45" t="str">
        <f t="shared" si="62"/>
        <v>Yes</v>
      </c>
      <c r="S149" s="46" t="str">
        <f t="shared" si="62"/>
        <v>Yes</v>
      </c>
      <c r="T149" s="47">
        <f>ROUND(INDEX(Summary!H:H,MATCH(H:H,Summary!A:A,0)),2)</f>
        <v>0.32</v>
      </c>
      <c r="U149" s="47">
        <f>ROUND(INDEX(Summary!I:I,MATCH(H:H,Summary!A:A,0)),2)</f>
        <v>0.36</v>
      </c>
      <c r="V149" s="85">
        <f t="shared" si="63"/>
        <v>822252.03914368898</v>
      </c>
      <c r="W149" s="85">
        <f t="shared" si="63"/>
        <v>741926.83581316913</v>
      </c>
      <c r="X149" s="45">
        <f t="shared" si="64"/>
        <v>1564178.8749568581</v>
      </c>
      <c r="Y149" s="45" t="s">
        <v>3223</v>
      </c>
      <c r="Z149" s="45" t="str">
        <f t="shared" si="65"/>
        <v>No</v>
      </c>
      <c r="AA149" s="45" t="str">
        <f t="shared" si="65"/>
        <v>Yes</v>
      </c>
      <c r="AB149" s="45" t="str">
        <f t="shared" si="66"/>
        <v>Yes</v>
      </c>
      <c r="AC149" s="86">
        <f t="shared" si="79"/>
        <v>0</v>
      </c>
      <c r="AD149" s="86">
        <f t="shared" si="80"/>
        <v>0.85</v>
      </c>
      <c r="AE149" s="45">
        <f t="shared" si="81"/>
        <v>0</v>
      </c>
      <c r="AF149" s="45">
        <f t="shared" si="81"/>
        <v>1751771.6956699828</v>
      </c>
      <c r="AG149" s="45">
        <f t="shared" si="67"/>
        <v>1751771.6956699828</v>
      </c>
      <c r="AH149" s="47">
        <f>IF(Y149="No",0,IFERROR(ROUNDDOWN(INDEX('90% of ACR'!K:K,MATCH(H:H,'90% of ACR'!A:A,0))*IF(I149&gt;0,IF(O149&gt;0,$R$4*MAX(O149-V149,0),0),0)/I149,2),0))</f>
        <v>0</v>
      </c>
      <c r="AI149" s="86">
        <f>IF(Y149="No",0,IFERROR(ROUNDDOWN(INDEX('90% of ACR'!R:R,MATCH(H:H,'90% of ACR'!A:A,0))*IF(J149&gt;0,IF(P149&gt;0,$R$4*MAX(P149-W149,0),0),0)/J149,2),0))</f>
        <v>0.28999999999999998</v>
      </c>
      <c r="AJ149" s="45">
        <f t="shared" si="68"/>
        <v>0</v>
      </c>
      <c r="AK149" s="45">
        <f t="shared" si="68"/>
        <v>597663.28440505289</v>
      </c>
      <c r="AL149" s="47">
        <f t="shared" si="69"/>
        <v>0.32</v>
      </c>
      <c r="AM149" s="47">
        <f t="shared" si="69"/>
        <v>0.64999999999999991</v>
      </c>
      <c r="AN149" s="87">
        <f>IFERROR(INDEX(FeeCalc!P:P,MATCH(C149,FeeCalc!F:F,0)),0)</f>
        <v>2161842.159361911</v>
      </c>
      <c r="AO149" s="87">
        <f>IFERROR(INDEX(FeeCalc!S:S,MATCH(C149,FeeCalc!F:F,0)),0)</f>
        <v>132663.40294241175</v>
      </c>
      <c r="AP149" s="87">
        <f t="shared" si="70"/>
        <v>2294505.5623043226</v>
      </c>
      <c r="AQ149" s="72">
        <f t="shared" si="71"/>
        <v>973632.13426371804</v>
      </c>
      <c r="AR149" s="72">
        <f t="shared" si="72"/>
        <v>486816.06713185902</v>
      </c>
      <c r="AS149" s="72">
        <f t="shared" si="73"/>
        <v>486816.06713185902</v>
      </c>
      <c r="AT149" s="72">
        <f>IFERROR(IFERROR(INDEX('2023 IP UPL Data'!L:L,MATCH(A:A,'2023 IP UPL Data'!B:B,0)),INDEX('2023 IMD UPL Data'!I:I,MATCH(A:A,'2023 IMD UPL Data'!B:B,0))),0)</f>
        <v>2958192.256682809</v>
      </c>
      <c r="AU149" s="72">
        <f>IFERROR(IF(F147="IMD",0,INDEX('2023 OP UPL Data'!J:J,MATCH(A:A,'2023 OP UPL Data'!B:B,0))),0)</f>
        <v>942720.80756756756</v>
      </c>
      <c r="AV149" s="45">
        <f t="shared" si="74"/>
        <v>3900913.0642503765</v>
      </c>
      <c r="AW149" s="72">
        <f>IFERROR(IFERROR(INDEX('2023 IP UPL Data'!M:M,MATCH(A:A,'2023 IP UPL Data'!B:B,0)),INDEX('2023 IMD UPL Data'!K:K,MATCH(A:A,'2023 IMD UPL Data'!B:B,0))),0)</f>
        <v>3074222.81</v>
      </c>
      <c r="AX149" s="72">
        <f>IFERROR(IF(F147="IMD",0,INDEX('2023 OP UPL Data'!L:L,MATCH(A:A,'2023 OP UPL Data'!B:B,0))),0)</f>
        <v>2828274.86</v>
      </c>
      <c r="AY149" s="45">
        <f t="shared" si="75"/>
        <v>5902497.6699999999</v>
      </c>
      <c r="AZ149" s="72">
        <v>3758371.5439427746</v>
      </c>
      <c r="BA149" s="72">
        <v>4186590.9904479925</v>
      </c>
      <c r="BB149" s="72">
        <f t="shared" si="76"/>
        <v>2936119.5047990857</v>
      </c>
      <c r="BC149" s="72">
        <f t="shared" si="76"/>
        <v>3444664.1546348231</v>
      </c>
      <c r="BD149" s="72">
        <f t="shared" si="77"/>
        <v>6380783.6594339088</v>
      </c>
      <c r="BE149" s="94">
        <f t="shared" si="78"/>
        <v>684148.73394277459</v>
      </c>
      <c r="BF149" s="94">
        <f t="shared" si="78"/>
        <v>1358316.1304479926</v>
      </c>
      <c r="BG149" s="73">
        <f>IFERROR(INDEX('2023 IP UPL Data'!K:K,MATCH(A149,'2023 IP UPL Data'!B:B,0)),0)</f>
        <v>0</v>
      </c>
    </row>
    <row r="150" spans="1:59">
      <c r="A150" s="124" t="s">
        <v>350</v>
      </c>
      <c r="B150" s="149" t="s">
        <v>350</v>
      </c>
      <c r="C150" s="31" t="s">
        <v>351</v>
      </c>
      <c r="D150" s="181" t="s">
        <v>351</v>
      </c>
      <c r="E150" s="144" t="s">
        <v>3102</v>
      </c>
      <c r="F150" s="120" t="s">
        <v>2768</v>
      </c>
      <c r="G150" s="120" t="s">
        <v>227</v>
      </c>
      <c r="H150" s="43" t="str">
        <f t="shared" si="58"/>
        <v>Rural MRSA West</v>
      </c>
      <c r="I150" s="45">
        <f>INDEX(FeeCalc!M:M,MATCH(C:C,FeeCalc!F:F,0))</f>
        <v>3944.2345818990107</v>
      </c>
      <c r="J150" s="45">
        <f>INDEX(FeeCalc!L:L,MATCH(C:C,FeeCalc!F:F,0))</f>
        <v>251641.02222997887</v>
      </c>
      <c r="K150" s="45">
        <f t="shared" si="59"/>
        <v>255585.25681187789</v>
      </c>
      <c r="L150" s="45">
        <f>IFERROR(IFERROR(INDEX('2023 IP UPL Data'!N:N,MATCH(A:A,'2023 IP UPL Data'!B:B,0)),INDEX('2023 IMD UPL Data'!M:M,MATCH(A:A,'2023 IMD UPL Data'!B:B,0))),0)</f>
        <v>-3093.2609843321043</v>
      </c>
      <c r="M150" s="45">
        <f>IFERROR((IF(F150="IMD",0,INDEX('2023 OP UPL Data'!M:M,MATCH(A:A,'2023 OP UPL Data'!B:B,0)))),0)</f>
        <v>130667.43047619046</v>
      </c>
      <c r="N150" s="45">
        <f t="shared" si="60"/>
        <v>127574.16949185837</v>
      </c>
      <c r="O150" s="45">
        <v>-5509.6967092128243</v>
      </c>
      <c r="P150" s="45">
        <v>207114.36331511426</v>
      </c>
      <c r="Q150" s="45">
        <f t="shared" si="61"/>
        <v>201604.66660590144</v>
      </c>
      <c r="R150" s="45" t="str">
        <f t="shared" si="62"/>
        <v>No</v>
      </c>
      <c r="S150" s="46" t="str">
        <f t="shared" si="62"/>
        <v>Yes</v>
      </c>
      <c r="T150" s="47">
        <f>ROUND(INDEX(Summary!H:H,MATCH(H:H,Summary!A:A,0)),2)</f>
        <v>0</v>
      </c>
      <c r="U150" s="47">
        <f>ROUND(INDEX(Summary!I:I,MATCH(H:H,Summary!A:A,0)),2)</f>
        <v>0.28999999999999998</v>
      </c>
      <c r="V150" s="85">
        <f t="shared" si="63"/>
        <v>0</v>
      </c>
      <c r="W150" s="85">
        <f t="shared" si="63"/>
        <v>72975.896446693863</v>
      </c>
      <c r="X150" s="45">
        <f t="shared" si="64"/>
        <v>72975.896446693863</v>
      </c>
      <c r="Y150" s="45" t="s">
        <v>3223</v>
      </c>
      <c r="Z150" s="45" t="str">
        <f t="shared" si="65"/>
        <v>No</v>
      </c>
      <c r="AA150" s="45" t="str">
        <f t="shared" si="65"/>
        <v>Yes</v>
      </c>
      <c r="AB150" s="45" t="str">
        <f t="shared" si="66"/>
        <v>Yes</v>
      </c>
      <c r="AC150" s="86">
        <f t="shared" si="79"/>
        <v>0</v>
      </c>
      <c r="AD150" s="86">
        <f t="shared" si="80"/>
        <v>0.37</v>
      </c>
      <c r="AE150" s="45">
        <f t="shared" si="81"/>
        <v>0</v>
      </c>
      <c r="AF150" s="45">
        <f t="shared" si="81"/>
        <v>93107.178225092182</v>
      </c>
      <c r="AG150" s="45">
        <f t="shared" si="67"/>
        <v>93107.178225092182</v>
      </c>
      <c r="AH150" s="47">
        <f>IF(Y150="No",0,IFERROR(ROUNDDOWN(INDEX('90% of ACR'!K:K,MATCH(H:H,'90% of ACR'!A:A,0))*IF(I150&gt;0,IF(O150&gt;0,$R$4*MAX(O150-V150,0),0),0)/I150,2),0))</f>
        <v>0</v>
      </c>
      <c r="AI150" s="86">
        <f>IF(Y150="No",0,IFERROR(ROUNDDOWN(INDEX('90% of ACR'!R:R,MATCH(H:H,'90% of ACR'!A:A,0))*IF(J150&gt;0,IF(P150&gt;0,$R$4*MAX(P150-W150,0),0),0)/J150,2),0))</f>
        <v>0.36</v>
      </c>
      <c r="AJ150" s="45">
        <f t="shared" si="68"/>
        <v>0</v>
      </c>
      <c r="AK150" s="45">
        <f t="shared" si="68"/>
        <v>90590.768002792393</v>
      </c>
      <c r="AL150" s="47">
        <f t="shared" si="69"/>
        <v>0</v>
      </c>
      <c r="AM150" s="47">
        <f t="shared" si="69"/>
        <v>0.64999999999999991</v>
      </c>
      <c r="AN150" s="87">
        <f>IFERROR(INDEX(FeeCalc!P:P,MATCH(C150,FeeCalc!F:F,0)),0)</f>
        <v>163566.66444948624</v>
      </c>
      <c r="AO150" s="87">
        <f>IFERROR(INDEX(FeeCalc!S:S,MATCH(C150,FeeCalc!F:F,0)),0)</f>
        <v>10009.766622975809</v>
      </c>
      <c r="AP150" s="87">
        <f t="shared" si="70"/>
        <v>173576.43107246206</v>
      </c>
      <c r="AQ150" s="72">
        <f t="shared" si="71"/>
        <v>73654.034149839979</v>
      </c>
      <c r="AR150" s="72">
        <f t="shared" si="72"/>
        <v>36827.01707491999</v>
      </c>
      <c r="AS150" s="72">
        <f t="shared" si="73"/>
        <v>36827.01707491999</v>
      </c>
      <c r="AT150" s="72">
        <f>IFERROR(IFERROR(INDEX('2023 IP UPL Data'!L:L,MATCH(A:A,'2023 IP UPL Data'!B:B,0)),INDEX('2023 IMD UPL Data'!I:I,MATCH(A:A,'2023 IMD UPL Data'!B:B,0))),0)</f>
        <v>10009.330984332104</v>
      </c>
      <c r="AU150" s="72">
        <f>IFERROR(IF(F148="IMD",0,INDEX('2023 OP UPL Data'!J:J,MATCH(A:A,'2023 OP UPL Data'!B:B,0))),0)</f>
        <v>101280.64952380952</v>
      </c>
      <c r="AV150" s="45">
        <f t="shared" si="74"/>
        <v>111289.98050814163</v>
      </c>
      <c r="AW150" s="72">
        <f>IFERROR(IFERROR(INDEX('2023 IP UPL Data'!M:M,MATCH(A:A,'2023 IP UPL Data'!B:B,0)),INDEX('2023 IMD UPL Data'!K:K,MATCH(A:A,'2023 IMD UPL Data'!B:B,0))),0)</f>
        <v>6916.07</v>
      </c>
      <c r="AX150" s="72">
        <f>IFERROR(IF(F148="IMD",0,INDEX('2023 OP UPL Data'!L:L,MATCH(A:A,'2023 OP UPL Data'!B:B,0))),0)</f>
        <v>231948.08</v>
      </c>
      <c r="AY150" s="45">
        <f t="shared" si="75"/>
        <v>238864.15</v>
      </c>
      <c r="AZ150" s="72">
        <v>4499.6342751192797</v>
      </c>
      <c r="BA150" s="72">
        <v>308395.01283892378</v>
      </c>
      <c r="BB150" s="72">
        <f t="shared" si="76"/>
        <v>4499.6342751192797</v>
      </c>
      <c r="BC150" s="72">
        <f t="shared" si="76"/>
        <v>235419.11639222992</v>
      </c>
      <c r="BD150" s="72">
        <f t="shared" si="77"/>
        <v>239918.7506673492</v>
      </c>
      <c r="BE150" s="94">
        <f t="shared" si="78"/>
        <v>0</v>
      </c>
      <c r="BF150" s="94">
        <f t="shared" si="78"/>
        <v>76446.932838923793</v>
      </c>
      <c r="BG150" s="73">
        <f>IFERROR(INDEX('2023 IP UPL Data'!K:K,MATCH(A150,'2023 IP UPL Data'!B:B,0)),0)</f>
        <v>0</v>
      </c>
    </row>
    <row r="151" spans="1:59">
      <c r="A151" s="124" t="s">
        <v>2046</v>
      </c>
      <c r="B151" s="149" t="s">
        <v>2046</v>
      </c>
      <c r="C151" s="31" t="s">
        <v>2048</v>
      </c>
      <c r="D151" s="181" t="s">
        <v>2048</v>
      </c>
      <c r="E151" s="144" t="s">
        <v>3108</v>
      </c>
      <c r="F151" s="120" t="s">
        <v>2768</v>
      </c>
      <c r="G151" s="120" t="s">
        <v>1489</v>
      </c>
      <c r="H151" s="43" t="str">
        <f t="shared" si="58"/>
        <v>Rural MRSA Central</v>
      </c>
      <c r="I151" s="45">
        <f>INDEX(FeeCalc!M:M,MATCH(C:C,FeeCalc!F:F,0))</f>
        <v>94988.864759790871</v>
      </c>
      <c r="J151" s="45">
        <f>INDEX(FeeCalc!L:L,MATCH(C:C,FeeCalc!F:F,0))</f>
        <v>571491.79463921487</v>
      </c>
      <c r="K151" s="45">
        <f t="shared" si="59"/>
        <v>666480.6593990057</v>
      </c>
      <c r="L151" s="45">
        <f>IFERROR(IFERROR(INDEX('2023 IP UPL Data'!N:N,MATCH(A:A,'2023 IP UPL Data'!B:B,0)),INDEX('2023 IMD UPL Data'!M:M,MATCH(A:A,'2023 IMD UPL Data'!B:B,0))),0)</f>
        <v>-3521.5529725994274</v>
      </c>
      <c r="M151" s="45">
        <f>IFERROR((IF(F151="IMD",0,INDEX('2023 OP UPL Data'!M:M,MATCH(A:A,'2023 OP UPL Data'!B:B,0)))),0)</f>
        <v>19711.982450331154</v>
      </c>
      <c r="N151" s="45">
        <f t="shared" si="60"/>
        <v>16190.429477731726</v>
      </c>
      <c r="O151" s="45">
        <v>-83495.825203513319</v>
      </c>
      <c r="P151" s="45">
        <v>191283.02694480901</v>
      </c>
      <c r="Q151" s="45">
        <f t="shared" si="61"/>
        <v>107787.20174129569</v>
      </c>
      <c r="R151" s="45" t="str">
        <f t="shared" si="62"/>
        <v>No</v>
      </c>
      <c r="S151" s="46" t="str">
        <f t="shared" si="62"/>
        <v>Yes</v>
      </c>
      <c r="T151" s="47">
        <f>ROUND(INDEX(Summary!H:H,MATCH(H:H,Summary!A:A,0)),2)</f>
        <v>0</v>
      </c>
      <c r="U151" s="47">
        <f>ROUND(INDEX(Summary!I:I,MATCH(H:H,Summary!A:A,0)),2)</f>
        <v>0.17</v>
      </c>
      <c r="V151" s="85">
        <f t="shared" si="63"/>
        <v>0</v>
      </c>
      <c r="W151" s="85">
        <f t="shared" si="63"/>
        <v>97153.605088666533</v>
      </c>
      <c r="X151" s="45">
        <f t="shared" si="64"/>
        <v>97153.605088666533</v>
      </c>
      <c r="Y151" s="45" t="s">
        <v>3223</v>
      </c>
      <c r="Z151" s="45" t="str">
        <f t="shared" si="65"/>
        <v>No</v>
      </c>
      <c r="AA151" s="45" t="str">
        <f t="shared" si="65"/>
        <v>Yes</v>
      </c>
      <c r="AB151" s="45" t="str">
        <f t="shared" si="66"/>
        <v>Yes</v>
      </c>
      <c r="AC151" s="86">
        <f t="shared" si="79"/>
        <v>0</v>
      </c>
      <c r="AD151" s="86">
        <f t="shared" si="80"/>
        <v>0.11</v>
      </c>
      <c r="AE151" s="45">
        <f t="shared" si="81"/>
        <v>0</v>
      </c>
      <c r="AF151" s="45">
        <f t="shared" si="81"/>
        <v>62864.09741031364</v>
      </c>
      <c r="AG151" s="45">
        <f t="shared" si="67"/>
        <v>62864.09741031364</v>
      </c>
      <c r="AH151" s="47">
        <f>IF(Y151="No",0,IFERROR(ROUNDDOWN(INDEX('90% of ACR'!K:K,MATCH(H:H,'90% of ACR'!A:A,0))*IF(I151&gt;0,IF(O151&gt;0,$R$4*MAX(O151-V151,0),0),0)/I151,2),0))</f>
        <v>0</v>
      </c>
      <c r="AI151" s="86">
        <f>IF(Y151="No",0,IFERROR(ROUNDDOWN(INDEX('90% of ACR'!R:R,MATCH(H:H,'90% of ACR'!A:A,0))*IF(J151&gt;0,IF(P151&gt;0,$R$4*MAX(P151-W151,0),0),0)/J151,2),0))</f>
        <v>0.11</v>
      </c>
      <c r="AJ151" s="45">
        <f t="shared" si="68"/>
        <v>0</v>
      </c>
      <c r="AK151" s="45">
        <f t="shared" si="68"/>
        <v>62864.09741031364</v>
      </c>
      <c r="AL151" s="47">
        <f t="shared" si="69"/>
        <v>0</v>
      </c>
      <c r="AM151" s="47">
        <f t="shared" si="69"/>
        <v>0.28000000000000003</v>
      </c>
      <c r="AN151" s="87">
        <f>IFERROR(INDEX(FeeCalc!P:P,MATCH(C151,FeeCalc!F:F,0)),0)</f>
        <v>160017.70249898019</v>
      </c>
      <c r="AO151" s="87">
        <f>IFERROR(INDEX(FeeCalc!S:S,MATCH(C151,FeeCalc!F:F,0)),0)</f>
        <v>9906.0999336541063</v>
      </c>
      <c r="AP151" s="87">
        <f t="shared" si="70"/>
        <v>169923.80243263429</v>
      </c>
      <c r="AQ151" s="72">
        <f t="shared" si="71"/>
        <v>72104.106933844581</v>
      </c>
      <c r="AR151" s="72">
        <f t="shared" si="72"/>
        <v>36052.053466922291</v>
      </c>
      <c r="AS151" s="72">
        <f t="shared" si="73"/>
        <v>36052.053466922291</v>
      </c>
      <c r="AT151" s="72">
        <f>IFERROR(IFERROR(INDEX('2023 IP UPL Data'!L:L,MATCH(A:A,'2023 IP UPL Data'!B:B,0)),INDEX('2023 IMD UPL Data'!I:I,MATCH(A:A,'2023 IMD UPL Data'!B:B,0))),0)</f>
        <v>172744.10297259942</v>
      </c>
      <c r="AU151" s="72">
        <f>IFERROR(IF(F149="IMD",0,INDEX('2023 OP UPL Data'!J:J,MATCH(A:A,'2023 OP UPL Data'!B:B,0))),0)</f>
        <v>208998.46754966886</v>
      </c>
      <c r="AV151" s="45">
        <f t="shared" si="74"/>
        <v>381742.5705222683</v>
      </c>
      <c r="AW151" s="72">
        <f>IFERROR(IFERROR(INDEX('2023 IP UPL Data'!M:M,MATCH(A:A,'2023 IP UPL Data'!B:B,0)),INDEX('2023 IMD UPL Data'!K:K,MATCH(A:A,'2023 IMD UPL Data'!B:B,0))),0)</f>
        <v>169222.55</v>
      </c>
      <c r="AX151" s="72">
        <f>IFERROR(IF(F149="IMD",0,INDEX('2023 OP UPL Data'!L:L,MATCH(A:A,'2023 OP UPL Data'!B:B,0))),0)</f>
        <v>228710.45</v>
      </c>
      <c r="AY151" s="45">
        <f t="shared" si="75"/>
        <v>397933</v>
      </c>
      <c r="AZ151" s="72">
        <v>89248.277769086097</v>
      </c>
      <c r="BA151" s="72">
        <v>400281.49449447787</v>
      </c>
      <c r="BB151" s="72">
        <f t="shared" si="76"/>
        <v>89248.277769086097</v>
      </c>
      <c r="BC151" s="72">
        <f t="shared" si="76"/>
        <v>303127.88940581132</v>
      </c>
      <c r="BD151" s="72">
        <f t="shared" si="77"/>
        <v>392376.16717489739</v>
      </c>
      <c r="BE151" s="94">
        <f t="shared" si="78"/>
        <v>0</v>
      </c>
      <c r="BF151" s="94">
        <f t="shared" si="78"/>
        <v>171571.04449447786</v>
      </c>
      <c r="BG151" s="73">
        <f>IFERROR(INDEX('2023 IP UPL Data'!K:K,MATCH(A151,'2023 IP UPL Data'!B:B,0)),0)</f>
        <v>0</v>
      </c>
    </row>
    <row r="152" spans="1:59" ht="25.5">
      <c r="A152" s="124" t="s">
        <v>1259</v>
      </c>
      <c r="B152" s="149" t="s">
        <v>1259</v>
      </c>
      <c r="C152" s="31" t="s">
        <v>1260</v>
      </c>
      <c r="D152" s="181" t="s">
        <v>1260</v>
      </c>
      <c r="E152" s="144" t="s">
        <v>3095</v>
      </c>
      <c r="F152" s="120" t="s">
        <v>3069</v>
      </c>
      <c r="G152" s="120" t="s">
        <v>1489</v>
      </c>
      <c r="H152" s="43" t="str">
        <f t="shared" si="58"/>
        <v>Non-state-owned IMD MRSA Central</v>
      </c>
      <c r="I152" s="45">
        <f>INDEX(FeeCalc!M:M,MATCH(C:C,FeeCalc!F:F,0))</f>
        <v>1571711.0949308933</v>
      </c>
      <c r="J152" s="45">
        <f>INDEX(FeeCalc!L:L,MATCH(C:C,FeeCalc!F:F,0))</f>
        <v>0</v>
      </c>
      <c r="K152" s="45">
        <f t="shared" si="59"/>
        <v>1571711.0949308933</v>
      </c>
      <c r="L152" s="45">
        <f>IFERROR(IFERROR(INDEX('2023 IP UPL Data'!N:N,MATCH(A:A,'2023 IP UPL Data'!B:B,0)),INDEX('2023 IMD UPL Data'!M:M,MATCH(A:A,'2023 IMD UPL Data'!B:B,0))),0)</f>
        <v>879176.46</v>
      </c>
      <c r="M152" s="45">
        <f>IFERROR((IF(F152="IMD",0,INDEX('2023 OP UPL Data'!M:M,MATCH(A:A,'2023 OP UPL Data'!B:B,0)))),0)</f>
        <v>0</v>
      </c>
      <c r="N152" s="45">
        <f t="shared" si="60"/>
        <v>879176.46</v>
      </c>
      <c r="O152" s="45">
        <v>479594.46658541344</v>
      </c>
      <c r="P152" s="45">
        <v>0</v>
      </c>
      <c r="Q152" s="45">
        <f t="shared" si="61"/>
        <v>479594.46658541344</v>
      </c>
      <c r="R152" s="45" t="str">
        <f t="shared" si="62"/>
        <v>Yes</v>
      </c>
      <c r="S152" s="46" t="str">
        <f t="shared" si="62"/>
        <v>No</v>
      </c>
      <c r="T152" s="47">
        <f>ROUND(INDEX(Summary!H:H,MATCH(H:H,Summary!A:A,0)),2)</f>
        <v>0.42</v>
      </c>
      <c r="U152" s="47">
        <f>ROUND(INDEX(Summary!I:I,MATCH(H:H,Summary!A:A,0)),2)</f>
        <v>0</v>
      </c>
      <c r="V152" s="85">
        <f t="shared" si="63"/>
        <v>660118.65987097519</v>
      </c>
      <c r="W152" s="85">
        <f t="shared" si="63"/>
        <v>0</v>
      </c>
      <c r="X152" s="45">
        <f t="shared" si="64"/>
        <v>660118.65987097519</v>
      </c>
      <c r="Y152" s="45" t="s">
        <v>3223</v>
      </c>
      <c r="Z152" s="45" t="str">
        <f t="shared" si="65"/>
        <v>No</v>
      </c>
      <c r="AA152" s="45" t="str">
        <f t="shared" si="65"/>
        <v>No</v>
      </c>
      <c r="AB152" s="45" t="str">
        <f t="shared" si="66"/>
        <v>No</v>
      </c>
      <c r="AC152" s="86">
        <f t="shared" si="79"/>
        <v>0</v>
      </c>
      <c r="AD152" s="86">
        <f t="shared" si="80"/>
        <v>0</v>
      </c>
      <c r="AE152" s="45">
        <f t="shared" si="81"/>
        <v>0</v>
      </c>
      <c r="AF152" s="45">
        <f t="shared" si="81"/>
        <v>0</v>
      </c>
      <c r="AG152" s="45">
        <f t="shared" si="67"/>
        <v>0</v>
      </c>
      <c r="AH152" s="47">
        <f>IF(Y152="No",0,IFERROR(ROUNDDOWN(INDEX('90% of ACR'!K:K,MATCH(H:H,'90% of ACR'!A:A,0))*IF(I152&gt;0,IF(O152&gt;0,$R$4*MAX(O152-V152,0),0),0)/I152,2),0))</f>
        <v>0</v>
      </c>
      <c r="AI152" s="86">
        <f>IF(Y152="No",0,IFERROR(ROUNDDOWN(INDEX('90% of ACR'!R:R,MATCH(H:H,'90% of ACR'!A:A,0))*IF(J152&gt;0,IF(P152&gt;0,$R$4*MAX(P152-W152,0),0),0)/J152,2),0))</f>
        <v>0</v>
      </c>
      <c r="AJ152" s="45">
        <f t="shared" si="68"/>
        <v>0</v>
      </c>
      <c r="AK152" s="45">
        <f t="shared" si="68"/>
        <v>0</v>
      </c>
      <c r="AL152" s="47">
        <f t="shared" si="69"/>
        <v>0.42</v>
      </c>
      <c r="AM152" s="47">
        <f t="shared" si="69"/>
        <v>0</v>
      </c>
      <c r="AN152" s="87">
        <f>IFERROR(INDEX(FeeCalc!P:P,MATCH(C152,FeeCalc!F:F,0)),0)</f>
        <v>660118.65987097519</v>
      </c>
      <c r="AO152" s="87">
        <f>IFERROR(INDEX(FeeCalc!S:S,MATCH(C152,FeeCalc!F:F,0)),0)</f>
        <v>40272.49118576241</v>
      </c>
      <c r="AP152" s="87">
        <f t="shared" si="70"/>
        <v>700391.15105673764</v>
      </c>
      <c r="AQ152" s="72">
        <f t="shared" si="71"/>
        <v>297198.37791020767</v>
      </c>
      <c r="AR152" s="72">
        <f t="shared" si="72"/>
        <v>148599.18895510383</v>
      </c>
      <c r="AS152" s="72">
        <f t="shared" si="73"/>
        <v>148599.18895510383</v>
      </c>
      <c r="AT152" s="72">
        <f>IFERROR(IFERROR(INDEX('2023 IP UPL Data'!L:L,MATCH(A:A,'2023 IP UPL Data'!B:B,0)),INDEX('2023 IMD UPL Data'!I:I,MATCH(A:A,'2023 IMD UPL Data'!B:B,0))),0)</f>
        <v>985690.08</v>
      </c>
      <c r="AU152" s="72">
        <f>IFERROR(IF(F150="IMD",0,INDEX('2023 OP UPL Data'!J:J,MATCH(A:A,'2023 OP UPL Data'!B:B,0))),0)</f>
        <v>0</v>
      </c>
      <c r="AV152" s="45">
        <f t="shared" si="74"/>
        <v>985690.08</v>
      </c>
      <c r="AW152" s="72">
        <f>IFERROR(IFERROR(INDEX('2023 IP UPL Data'!M:M,MATCH(A:A,'2023 IP UPL Data'!B:B,0)),INDEX('2023 IMD UPL Data'!K:K,MATCH(A:A,'2023 IMD UPL Data'!B:B,0))),0)</f>
        <v>879176.46</v>
      </c>
      <c r="AX152" s="72">
        <f>IFERROR(IF(F150="IMD",0,INDEX('2023 OP UPL Data'!L:L,MATCH(A:A,'2023 OP UPL Data'!B:B,0))),0)</f>
        <v>0</v>
      </c>
      <c r="AY152" s="45">
        <f t="shared" si="75"/>
        <v>879176.46</v>
      </c>
      <c r="AZ152" s="72">
        <v>1465284.5465854134</v>
      </c>
      <c r="BA152" s="72">
        <v>0</v>
      </c>
      <c r="BB152" s="72">
        <f t="shared" si="76"/>
        <v>805165.88671443821</v>
      </c>
      <c r="BC152" s="72">
        <f t="shared" si="76"/>
        <v>0</v>
      </c>
      <c r="BD152" s="72">
        <f t="shared" si="77"/>
        <v>805165.88671443821</v>
      </c>
      <c r="BE152" s="94">
        <f t="shared" si="78"/>
        <v>586108.08658541343</v>
      </c>
      <c r="BF152" s="94">
        <f t="shared" si="78"/>
        <v>0</v>
      </c>
      <c r="BG152" s="73">
        <f>IFERROR(INDEX('2023 IP UPL Data'!K:K,MATCH(A152,'2023 IP UPL Data'!B:B,0)),0)</f>
        <v>0</v>
      </c>
    </row>
    <row r="153" spans="1:59" ht="25.5">
      <c r="A153" s="124" t="s">
        <v>1212</v>
      </c>
      <c r="B153" s="149" t="s">
        <v>1212</v>
      </c>
      <c r="C153" s="31" t="s">
        <v>1213</v>
      </c>
      <c r="D153" s="181" t="s">
        <v>1213</v>
      </c>
      <c r="E153" s="144" t="s">
        <v>3417</v>
      </c>
      <c r="F153" s="120" t="s">
        <v>3069</v>
      </c>
      <c r="G153" s="120" t="s">
        <v>1202</v>
      </c>
      <c r="H153" s="43" t="str">
        <f t="shared" si="58"/>
        <v>Non-state-owned IMD Travis</v>
      </c>
      <c r="I153" s="45">
        <f>INDEX(FeeCalc!M:M,MATCH(C:C,FeeCalc!F:F,0))</f>
        <v>1149780.8060350846</v>
      </c>
      <c r="J153" s="45">
        <f>INDEX(FeeCalc!L:L,MATCH(C:C,FeeCalc!F:F,0))</f>
        <v>0</v>
      </c>
      <c r="K153" s="45">
        <f t="shared" si="59"/>
        <v>1149780.8060350846</v>
      </c>
      <c r="L153" s="45">
        <f>IFERROR(IFERROR(INDEX('2023 IP UPL Data'!N:N,MATCH(A:A,'2023 IP UPL Data'!B:B,0)),INDEX('2023 IMD UPL Data'!M:M,MATCH(A:A,'2023 IMD UPL Data'!B:B,0))),0)</f>
        <v>990297.84</v>
      </c>
      <c r="M153" s="45">
        <f>IFERROR((IF(F153="IMD",0,INDEX('2023 OP UPL Data'!M:M,MATCH(A:A,'2023 OP UPL Data'!B:B,0)))),0)</f>
        <v>0</v>
      </c>
      <c r="N153" s="45">
        <f t="shared" si="60"/>
        <v>990297.84</v>
      </c>
      <c r="O153" s="45">
        <v>679692.88926580292</v>
      </c>
      <c r="P153" s="45">
        <v>0</v>
      </c>
      <c r="Q153" s="45">
        <f t="shared" si="61"/>
        <v>679692.88926580292</v>
      </c>
      <c r="R153" s="45" t="str">
        <f t="shared" si="62"/>
        <v>Yes</v>
      </c>
      <c r="S153" s="46" t="str">
        <f t="shared" si="62"/>
        <v>No</v>
      </c>
      <c r="T153" s="47">
        <f>ROUND(INDEX(Summary!H:H,MATCH(H:H,Summary!A:A,0)),2)</f>
        <v>0.63</v>
      </c>
      <c r="U153" s="47">
        <f>ROUND(INDEX(Summary!I:I,MATCH(H:H,Summary!A:A,0)),2)</f>
        <v>0</v>
      </c>
      <c r="V153" s="85">
        <f t="shared" si="63"/>
        <v>724361.90780210332</v>
      </c>
      <c r="W153" s="85">
        <f t="shared" si="63"/>
        <v>0</v>
      </c>
      <c r="X153" s="45">
        <f t="shared" si="64"/>
        <v>724361.90780210332</v>
      </c>
      <c r="Y153" s="45" t="s">
        <v>3223</v>
      </c>
      <c r="Z153" s="45" t="str">
        <f t="shared" si="65"/>
        <v>No</v>
      </c>
      <c r="AA153" s="45" t="str">
        <f t="shared" si="65"/>
        <v>No</v>
      </c>
      <c r="AB153" s="45" t="str">
        <f t="shared" si="66"/>
        <v>No</v>
      </c>
      <c r="AC153" s="86">
        <f t="shared" si="79"/>
        <v>0</v>
      </c>
      <c r="AD153" s="86">
        <f t="shared" si="80"/>
        <v>0</v>
      </c>
      <c r="AE153" s="45">
        <f t="shared" si="81"/>
        <v>0</v>
      </c>
      <c r="AF153" s="45">
        <f t="shared" si="81"/>
        <v>0</v>
      </c>
      <c r="AG153" s="45">
        <f t="shared" si="67"/>
        <v>0</v>
      </c>
      <c r="AH153" s="47">
        <f>IF(Y153="No",0,IFERROR(ROUNDDOWN(INDEX('90% of ACR'!K:K,MATCH(H:H,'90% of ACR'!A:A,0))*IF(I153&gt;0,IF(O153&gt;0,$R$4*MAX(O153-V153,0),0),0)/I153,2),0))</f>
        <v>0</v>
      </c>
      <c r="AI153" s="86">
        <f>IF(Y153="No",0,IFERROR(ROUNDDOWN(INDEX('90% of ACR'!R:R,MATCH(H:H,'90% of ACR'!A:A,0))*IF(J153&gt;0,IF(P153&gt;0,$R$4*MAX(P153-W153,0),0),0)/J153,2),0))</f>
        <v>0</v>
      </c>
      <c r="AJ153" s="45">
        <f t="shared" si="68"/>
        <v>0</v>
      </c>
      <c r="AK153" s="45">
        <f t="shared" si="68"/>
        <v>0</v>
      </c>
      <c r="AL153" s="47">
        <f t="shared" si="69"/>
        <v>0.63</v>
      </c>
      <c r="AM153" s="47">
        <f t="shared" si="69"/>
        <v>0</v>
      </c>
      <c r="AN153" s="87">
        <f>IFERROR(INDEX(FeeCalc!P:P,MATCH(C153,FeeCalc!F:F,0)),0)</f>
        <v>724361.90780210332</v>
      </c>
      <c r="AO153" s="87">
        <f>IFERROR(INDEX(FeeCalc!S:S,MATCH(C153,FeeCalc!F:F,0)),0)</f>
        <v>44191.84052904079</v>
      </c>
      <c r="AP153" s="87">
        <f t="shared" si="70"/>
        <v>768553.7483311441</v>
      </c>
      <c r="AQ153" s="72">
        <f t="shared" si="71"/>
        <v>326121.94913685106</v>
      </c>
      <c r="AR153" s="72">
        <f t="shared" si="72"/>
        <v>163060.97456842553</v>
      </c>
      <c r="AS153" s="72">
        <f t="shared" si="73"/>
        <v>163060.97456842553</v>
      </c>
      <c r="AT153" s="72">
        <f>IFERROR(IFERROR(INDEX('2023 IP UPL Data'!L:L,MATCH(A:A,'2023 IP UPL Data'!B:B,0)),INDEX('2023 IMD UPL Data'!I:I,MATCH(A:A,'2023 IMD UPL Data'!B:B,0))),0)</f>
        <v>1291036.32</v>
      </c>
      <c r="AU153" s="72">
        <f>IFERROR(IF(F151="IMD",0,INDEX('2023 OP UPL Data'!J:J,MATCH(A:A,'2023 OP UPL Data'!B:B,0))),0)</f>
        <v>0</v>
      </c>
      <c r="AV153" s="45">
        <f t="shared" si="74"/>
        <v>1291036.32</v>
      </c>
      <c r="AW153" s="72">
        <f>IFERROR(IFERROR(INDEX('2023 IP UPL Data'!M:M,MATCH(A:A,'2023 IP UPL Data'!B:B,0)),INDEX('2023 IMD UPL Data'!K:K,MATCH(A:A,'2023 IMD UPL Data'!B:B,0))),0)</f>
        <v>990297.84</v>
      </c>
      <c r="AX153" s="72">
        <f>IFERROR(IF(F151="IMD",0,INDEX('2023 OP UPL Data'!L:L,MATCH(A:A,'2023 OP UPL Data'!B:B,0))),0)</f>
        <v>0</v>
      </c>
      <c r="AY153" s="45">
        <f t="shared" si="75"/>
        <v>990297.84</v>
      </c>
      <c r="AZ153" s="72">
        <v>1970729.209265803</v>
      </c>
      <c r="BA153" s="72">
        <v>0</v>
      </c>
      <c r="BB153" s="72">
        <f t="shared" si="76"/>
        <v>1246367.3014636997</v>
      </c>
      <c r="BC153" s="72">
        <f t="shared" si="76"/>
        <v>0</v>
      </c>
      <c r="BD153" s="72">
        <f t="shared" si="77"/>
        <v>1246367.3014636997</v>
      </c>
      <c r="BE153" s="94">
        <f t="shared" si="78"/>
        <v>980431.36926580302</v>
      </c>
      <c r="BF153" s="94">
        <f t="shared" si="78"/>
        <v>0</v>
      </c>
      <c r="BG153" s="73">
        <f>IFERROR(INDEX('2023 IP UPL Data'!K:K,MATCH(A153,'2023 IP UPL Data'!B:B,0)),0)</f>
        <v>0</v>
      </c>
    </row>
    <row r="154" spans="1:59" ht="25.5">
      <c r="A154" s="124" t="s">
        <v>1298</v>
      </c>
      <c r="B154" s="149" t="s">
        <v>1298</v>
      </c>
      <c r="C154" s="31" t="s">
        <v>1299</v>
      </c>
      <c r="D154" s="181" t="s">
        <v>1299</v>
      </c>
      <c r="E154" s="144" t="s">
        <v>3096</v>
      </c>
      <c r="F154" s="120" t="s">
        <v>3069</v>
      </c>
      <c r="G154" s="120" t="s">
        <v>227</v>
      </c>
      <c r="H154" s="43" t="str">
        <f t="shared" si="58"/>
        <v>Non-state-owned IMD MRSA West</v>
      </c>
      <c r="I154" s="45">
        <f>INDEX(FeeCalc!M:M,MATCH(C:C,FeeCalc!F:F,0))</f>
        <v>935777.31862968474</v>
      </c>
      <c r="J154" s="45">
        <f>INDEX(FeeCalc!L:L,MATCH(C:C,FeeCalc!F:F,0))</f>
        <v>0</v>
      </c>
      <c r="K154" s="45">
        <f t="shared" si="59"/>
        <v>935777.31862968474</v>
      </c>
      <c r="L154" s="45">
        <f>IFERROR(IFERROR(INDEX('2023 IP UPL Data'!N:N,MATCH(A:A,'2023 IP UPL Data'!B:B,0)),INDEX('2023 IMD UPL Data'!M:M,MATCH(A:A,'2023 IMD UPL Data'!B:B,0))),0)</f>
        <v>313229.12</v>
      </c>
      <c r="M154" s="45">
        <f>IFERROR((IF(F154="IMD",0,INDEX('2023 OP UPL Data'!M:M,MATCH(A:A,'2023 OP UPL Data'!B:B,0)))),0)</f>
        <v>0</v>
      </c>
      <c r="N154" s="45">
        <f t="shared" si="60"/>
        <v>313229.12</v>
      </c>
      <c r="O154" s="45">
        <v>28794.27789473685</v>
      </c>
      <c r="P154" s="45">
        <v>0</v>
      </c>
      <c r="Q154" s="45">
        <f t="shared" si="61"/>
        <v>28794.27789473685</v>
      </c>
      <c r="R154" s="45" t="str">
        <f t="shared" si="62"/>
        <v>Yes</v>
      </c>
      <c r="S154" s="46" t="str">
        <f t="shared" si="62"/>
        <v>No</v>
      </c>
      <c r="T154" s="47">
        <f>ROUND(INDEX(Summary!H:H,MATCH(H:H,Summary!A:A,0)),2)</f>
        <v>0.34</v>
      </c>
      <c r="U154" s="47">
        <f>ROUND(INDEX(Summary!I:I,MATCH(H:H,Summary!A:A,0)),2)</f>
        <v>0</v>
      </c>
      <c r="V154" s="85">
        <f t="shared" si="63"/>
        <v>318164.28833409282</v>
      </c>
      <c r="W154" s="85">
        <f t="shared" si="63"/>
        <v>0</v>
      </c>
      <c r="X154" s="45">
        <f t="shared" si="64"/>
        <v>318164.28833409282</v>
      </c>
      <c r="Y154" s="45" t="s">
        <v>3223</v>
      </c>
      <c r="Z154" s="45" t="str">
        <f t="shared" si="65"/>
        <v>No</v>
      </c>
      <c r="AA154" s="45" t="str">
        <f t="shared" si="65"/>
        <v>No</v>
      </c>
      <c r="AB154" s="45" t="str">
        <f t="shared" si="66"/>
        <v>No</v>
      </c>
      <c r="AC154" s="86">
        <f t="shared" si="79"/>
        <v>0</v>
      </c>
      <c r="AD154" s="86">
        <f t="shared" si="80"/>
        <v>0</v>
      </c>
      <c r="AE154" s="45">
        <f t="shared" si="81"/>
        <v>0</v>
      </c>
      <c r="AF154" s="45">
        <f t="shared" si="81"/>
        <v>0</v>
      </c>
      <c r="AG154" s="45">
        <f t="shared" si="67"/>
        <v>0</v>
      </c>
      <c r="AH154" s="47">
        <f>IF(Y154="No",0,IFERROR(ROUNDDOWN(INDEX('90% of ACR'!K:K,MATCH(H:H,'90% of ACR'!A:A,0))*IF(I154&gt;0,IF(O154&gt;0,$R$4*MAX(O154-V154,0),0),0)/I154,2),0))</f>
        <v>0</v>
      </c>
      <c r="AI154" s="86">
        <f>IF(Y154="No",0,IFERROR(ROUNDDOWN(INDEX('90% of ACR'!R:R,MATCH(H:H,'90% of ACR'!A:A,0))*IF(J154&gt;0,IF(P154&gt;0,$R$4*MAX(P154-W154,0),0),0)/J154,2),0))</f>
        <v>0</v>
      </c>
      <c r="AJ154" s="45">
        <f t="shared" si="68"/>
        <v>0</v>
      </c>
      <c r="AK154" s="45">
        <f t="shared" si="68"/>
        <v>0</v>
      </c>
      <c r="AL154" s="47">
        <f t="shared" si="69"/>
        <v>0.34</v>
      </c>
      <c r="AM154" s="47">
        <f t="shared" si="69"/>
        <v>0</v>
      </c>
      <c r="AN154" s="87">
        <f>IFERROR(INDEX(FeeCalc!P:P,MATCH(C154,FeeCalc!F:F,0)),0)</f>
        <v>318164.28833409282</v>
      </c>
      <c r="AO154" s="87">
        <f>IFERROR(INDEX(FeeCalc!S:S,MATCH(C154,FeeCalc!F:F,0)),0)</f>
        <v>19410.553399692668</v>
      </c>
      <c r="AP154" s="87">
        <f t="shared" si="70"/>
        <v>337574.84173378546</v>
      </c>
      <c r="AQ154" s="72">
        <f t="shared" si="71"/>
        <v>143243.80774258066</v>
      </c>
      <c r="AR154" s="72">
        <f t="shared" si="72"/>
        <v>71621.903871290328</v>
      </c>
      <c r="AS154" s="72">
        <f t="shared" si="73"/>
        <v>71621.903871290328</v>
      </c>
      <c r="AT154" s="72">
        <f>IFERROR(IFERROR(INDEX('2023 IP UPL Data'!L:L,MATCH(A:A,'2023 IP UPL Data'!B:B,0)),INDEX('2023 IMD UPL Data'!I:I,MATCH(A:A,'2023 IMD UPL Data'!B:B,0))),0)</f>
        <v>887364.88</v>
      </c>
      <c r="AU154" s="72">
        <f>IFERROR(IF(F152="IMD",0,INDEX('2023 OP UPL Data'!J:J,MATCH(A:A,'2023 OP UPL Data'!B:B,0))),0)</f>
        <v>0</v>
      </c>
      <c r="AV154" s="45">
        <f t="shared" si="74"/>
        <v>887364.88</v>
      </c>
      <c r="AW154" s="72">
        <f>IFERROR(IFERROR(INDEX('2023 IP UPL Data'!M:M,MATCH(A:A,'2023 IP UPL Data'!B:B,0)),INDEX('2023 IMD UPL Data'!K:K,MATCH(A:A,'2023 IMD UPL Data'!B:B,0))),0)</f>
        <v>313229.12</v>
      </c>
      <c r="AX154" s="72">
        <f>IFERROR(IF(F152="IMD",0,INDEX('2023 OP UPL Data'!L:L,MATCH(A:A,'2023 OP UPL Data'!B:B,0))),0)</f>
        <v>0</v>
      </c>
      <c r="AY154" s="45">
        <f t="shared" si="75"/>
        <v>313229.12</v>
      </c>
      <c r="AZ154" s="72">
        <v>916159.15789473685</v>
      </c>
      <c r="BA154" s="72">
        <v>0</v>
      </c>
      <c r="BB154" s="72">
        <f t="shared" si="76"/>
        <v>597994.86956064403</v>
      </c>
      <c r="BC154" s="72">
        <f t="shared" si="76"/>
        <v>0</v>
      </c>
      <c r="BD154" s="72">
        <f t="shared" si="77"/>
        <v>597994.86956064403</v>
      </c>
      <c r="BE154" s="94">
        <f t="shared" si="78"/>
        <v>602930.03789473686</v>
      </c>
      <c r="BF154" s="94">
        <f t="shared" si="78"/>
        <v>0</v>
      </c>
      <c r="BG154" s="73">
        <f>IFERROR(INDEX('2023 IP UPL Data'!K:K,MATCH(A154,'2023 IP UPL Data'!B:B,0)),0)</f>
        <v>0</v>
      </c>
    </row>
    <row r="155" spans="1:59" ht="25.5">
      <c r="A155" s="124" t="s">
        <v>1498</v>
      </c>
      <c r="B155" s="149" t="s">
        <v>1498</v>
      </c>
      <c r="C155" s="31" t="s">
        <v>1499</v>
      </c>
      <c r="D155" s="181" t="s">
        <v>1499</v>
      </c>
      <c r="E155" s="144" t="s">
        <v>3072</v>
      </c>
      <c r="F155" s="120" t="s">
        <v>3069</v>
      </c>
      <c r="G155" s="120" t="s">
        <v>1189</v>
      </c>
      <c r="H155" s="43" t="str">
        <f t="shared" si="58"/>
        <v>Non-state-owned IMD El Paso</v>
      </c>
      <c r="I155" s="45">
        <f>INDEX(FeeCalc!M:M,MATCH(C:C,FeeCalc!F:F,0))</f>
        <v>2346727.4032828701</v>
      </c>
      <c r="J155" s="45">
        <f>INDEX(FeeCalc!L:L,MATCH(C:C,FeeCalc!F:F,0))</f>
        <v>0</v>
      </c>
      <c r="K155" s="45">
        <f t="shared" si="59"/>
        <v>2346727.4032828701</v>
      </c>
      <c r="L155" s="45">
        <f>IFERROR(IFERROR(INDEX('2023 IP UPL Data'!N:N,MATCH(A:A,'2023 IP UPL Data'!B:B,0)),INDEX('2023 IMD UPL Data'!M:M,MATCH(A:A,'2023 IMD UPL Data'!B:B,0))),0)</f>
        <v>206365</v>
      </c>
      <c r="M155" s="45">
        <f>IFERROR((IF(F155="IMD",0,INDEX('2023 OP UPL Data'!M:M,MATCH(A:A,'2023 OP UPL Data'!B:B,0)))),0)</f>
        <v>0</v>
      </c>
      <c r="N155" s="45">
        <f t="shared" si="60"/>
        <v>206365</v>
      </c>
      <c r="O155" s="45">
        <v>194938.96370808664</v>
      </c>
      <c r="P155" s="45">
        <v>0</v>
      </c>
      <c r="Q155" s="45">
        <f t="shared" si="61"/>
        <v>194938.96370808664</v>
      </c>
      <c r="R155" s="45" t="str">
        <f t="shared" si="62"/>
        <v>Yes</v>
      </c>
      <c r="S155" s="46" t="str">
        <f t="shared" si="62"/>
        <v>No</v>
      </c>
      <c r="T155" s="47">
        <f>ROUND(INDEX(Summary!H:H,MATCH(H:H,Summary!A:A,0)),2)</f>
        <v>0.12</v>
      </c>
      <c r="U155" s="47">
        <f>ROUND(INDEX(Summary!I:I,MATCH(H:H,Summary!A:A,0)),2)</f>
        <v>0</v>
      </c>
      <c r="V155" s="85">
        <f t="shared" si="63"/>
        <v>281607.28839394439</v>
      </c>
      <c r="W155" s="85">
        <f t="shared" si="63"/>
        <v>0</v>
      </c>
      <c r="X155" s="45">
        <f t="shared" si="64"/>
        <v>281607.28839394439</v>
      </c>
      <c r="Y155" s="45" t="s">
        <v>3223</v>
      </c>
      <c r="Z155" s="45" t="str">
        <f t="shared" si="65"/>
        <v>No</v>
      </c>
      <c r="AA155" s="45" t="str">
        <f t="shared" si="65"/>
        <v>No</v>
      </c>
      <c r="AB155" s="45" t="str">
        <f t="shared" si="66"/>
        <v>No</v>
      </c>
      <c r="AC155" s="86">
        <f t="shared" si="79"/>
        <v>0</v>
      </c>
      <c r="AD155" s="86">
        <f t="shared" si="80"/>
        <v>0</v>
      </c>
      <c r="AE155" s="45">
        <f t="shared" si="81"/>
        <v>0</v>
      </c>
      <c r="AF155" s="45">
        <f t="shared" si="81"/>
        <v>0</v>
      </c>
      <c r="AG155" s="45">
        <f t="shared" si="67"/>
        <v>0</v>
      </c>
      <c r="AH155" s="47">
        <f>IF(Y155="No",0,IFERROR(ROUNDDOWN(INDEX('90% of ACR'!K:K,MATCH(H:H,'90% of ACR'!A:A,0))*IF(I155&gt;0,IF(O155&gt;0,$R$4*MAX(O155-V155,0),0),0)/I155,2),0))</f>
        <v>0</v>
      </c>
      <c r="AI155" s="86">
        <f>IF(Y155="No",0,IFERROR(ROUNDDOWN(INDEX('90% of ACR'!R:R,MATCH(H:H,'90% of ACR'!A:A,0))*IF(J155&gt;0,IF(P155&gt;0,$R$4*MAX(P155-W155,0),0),0)/J155,2),0))</f>
        <v>0</v>
      </c>
      <c r="AJ155" s="45">
        <f t="shared" si="68"/>
        <v>0</v>
      </c>
      <c r="AK155" s="45">
        <f t="shared" si="68"/>
        <v>0</v>
      </c>
      <c r="AL155" s="47">
        <f t="shared" si="69"/>
        <v>0.12</v>
      </c>
      <c r="AM155" s="47">
        <f t="shared" si="69"/>
        <v>0</v>
      </c>
      <c r="AN155" s="87">
        <f>IFERROR(INDEX(FeeCalc!P:P,MATCH(C155,FeeCalc!F:F,0)),0)</f>
        <v>281607.28839394439</v>
      </c>
      <c r="AO155" s="87">
        <f>IFERROR(INDEX(FeeCalc!S:S,MATCH(C155,FeeCalc!F:F,0)),0)</f>
        <v>17180.285498834804</v>
      </c>
      <c r="AP155" s="87">
        <f t="shared" si="70"/>
        <v>298787.57389277918</v>
      </c>
      <c r="AQ155" s="72">
        <f t="shared" si="71"/>
        <v>126785.12880507078</v>
      </c>
      <c r="AR155" s="72">
        <f t="shared" si="72"/>
        <v>63392.56440253539</v>
      </c>
      <c r="AS155" s="72">
        <f t="shared" si="73"/>
        <v>63392.56440253539</v>
      </c>
      <c r="AT155" s="72">
        <f>IFERROR(IFERROR(INDEX('2023 IP UPL Data'!L:L,MATCH(A:A,'2023 IP UPL Data'!B:B,0)),INDEX('2023 IMD UPL Data'!I:I,MATCH(A:A,'2023 IMD UPL Data'!B:B,0))),0)</f>
        <v>790325.8</v>
      </c>
      <c r="AU155" s="72">
        <f>IFERROR(IF(F153="IMD",0,INDEX('2023 OP UPL Data'!J:J,MATCH(A:A,'2023 OP UPL Data'!B:B,0))),0)</f>
        <v>0</v>
      </c>
      <c r="AV155" s="45">
        <f t="shared" si="74"/>
        <v>790325.8</v>
      </c>
      <c r="AW155" s="72">
        <f>IFERROR(IFERROR(INDEX('2023 IP UPL Data'!M:M,MATCH(A:A,'2023 IP UPL Data'!B:B,0)),INDEX('2023 IMD UPL Data'!K:K,MATCH(A:A,'2023 IMD UPL Data'!B:B,0))),0)</f>
        <v>206365</v>
      </c>
      <c r="AX155" s="72">
        <f>IFERROR(IF(F153="IMD",0,INDEX('2023 OP UPL Data'!L:L,MATCH(A:A,'2023 OP UPL Data'!B:B,0))),0)</f>
        <v>0</v>
      </c>
      <c r="AY155" s="45">
        <f t="shared" si="75"/>
        <v>206365</v>
      </c>
      <c r="AZ155" s="72">
        <v>985264.76370808668</v>
      </c>
      <c r="BA155" s="72">
        <v>0</v>
      </c>
      <c r="BB155" s="72">
        <f t="shared" si="76"/>
        <v>703657.4753141423</v>
      </c>
      <c r="BC155" s="72">
        <f t="shared" si="76"/>
        <v>0</v>
      </c>
      <c r="BD155" s="72">
        <f t="shared" si="77"/>
        <v>703657.4753141423</v>
      </c>
      <c r="BE155" s="94">
        <f t="shared" si="78"/>
        <v>778899.76370808668</v>
      </c>
      <c r="BF155" s="94">
        <f t="shared" si="78"/>
        <v>0</v>
      </c>
      <c r="BG155" s="73">
        <f>IFERROR(INDEX('2023 IP UPL Data'!K:K,MATCH(A155,'2023 IP UPL Data'!B:B,0)),0)</f>
        <v>0</v>
      </c>
    </row>
    <row r="156" spans="1:59">
      <c r="A156" s="124" t="s">
        <v>158</v>
      </c>
      <c r="B156" s="149" t="s">
        <v>159</v>
      </c>
      <c r="C156" s="31" t="s">
        <v>160</v>
      </c>
      <c r="D156" s="181" t="s">
        <v>160</v>
      </c>
      <c r="E156" s="144" t="s">
        <v>3507</v>
      </c>
      <c r="F156" s="120" t="s">
        <v>2768</v>
      </c>
      <c r="G156" s="120" t="s">
        <v>1489</v>
      </c>
      <c r="H156" s="43" t="str">
        <f t="shared" si="58"/>
        <v>Rural MRSA Central</v>
      </c>
      <c r="I156" s="45">
        <f>INDEX(FeeCalc!M:M,MATCH(C:C,FeeCalc!F:F,0))</f>
        <v>536991.28467743436</v>
      </c>
      <c r="J156" s="45">
        <f>INDEX(FeeCalc!L:L,MATCH(C:C,FeeCalc!F:F,0))</f>
        <v>1100491.2747758045</v>
      </c>
      <c r="K156" s="45">
        <f t="shared" si="59"/>
        <v>1637482.5594532387</v>
      </c>
      <c r="L156" s="45">
        <f>IFERROR(IFERROR(INDEX('2023 IP UPL Data'!N:N,MATCH(A:A,'2023 IP UPL Data'!B:B,0)),INDEX('2023 IMD UPL Data'!M:M,MATCH(A:A,'2023 IMD UPL Data'!B:B,0))),0)</f>
        <v>0</v>
      </c>
      <c r="M156" s="45">
        <f>IFERROR((IF(F156="IMD",0,INDEX('2023 OP UPL Data'!M:M,MATCH(A:A,'2023 OP UPL Data'!B:B,0)))),0)</f>
        <v>-124320.66516556288</v>
      </c>
      <c r="N156" s="45">
        <f t="shared" si="60"/>
        <v>-124320.66516556288</v>
      </c>
      <c r="O156" s="45">
        <v>0</v>
      </c>
      <c r="P156" s="45">
        <v>532711.12468237802</v>
      </c>
      <c r="Q156" s="45">
        <f t="shared" si="61"/>
        <v>532711.12468237802</v>
      </c>
      <c r="R156" s="45" t="str">
        <f t="shared" si="62"/>
        <v>No</v>
      </c>
      <c r="S156" s="46" t="str">
        <f t="shared" si="62"/>
        <v>Yes</v>
      </c>
      <c r="T156" s="47">
        <f>ROUND(INDEX(Summary!H:H,MATCH(H:H,Summary!A:A,0)),2)</f>
        <v>0</v>
      </c>
      <c r="U156" s="47">
        <f>ROUND(INDEX(Summary!I:I,MATCH(H:H,Summary!A:A,0)),2)</f>
        <v>0.17</v>
      </c>
      <c r="V156" s="85">
        <f t="shared" si="63"/>
        <v>0</v>
      </c>
      <c r="W156" s="85">
        <f t="shared" si="63"/>
        <v>187083.51671188677</v>
      </c>
      <c r="X156" s="45">
        <f t="shared" si="64"/>
        <v>187083.51671188677</v>
      </c>
      <c r="Y156" s="45" t="s">
        <v>3223</v>
      </c>
      <c r="Z156" s="45" t="str">
        <f t="shared" si="65"/>
        <v>No</v>
      </c>
      <c r="AA156" s="45" t="str">
        <f t="shared" si="65"/>
        <v>Yes</v>
      </c>
      <c r="AB156" s="45" t="str">
        <f t="shared" si="66"/>
        <v>Yes</v>
      </c>
      <c r="AC156" s="86">
        <f t="shared" si="79"/>
        <v>0</v>
      </c>
      <c r="AD156" s="86">
        <f t="shared" si="80"/>
        <v>0.22</v>
      </c>
      <c r="AE156" s="45">
        <f t="shared" si="81"/>
        <v>0</v>
      </c>
      <c r="AF156" s="45">
        <f t="shared" si="81"/>
        <v>242108.08045067699</v>
      </c>
      <c r="AG156" s="45">
        <f t="shared" si="67"/>
        <v>242108.08045067699</v>
      </c>
      <c r="AH156" s="47">
        <f>IF(Y156="No",0,IFERROR(ROUNDDOWN(INDEX('90% of ACR'!K:K,MATCH(H:H,'90% of ACR'!A:A,0))*IF(I156&gt;0,IF(O156&gt;0,$R$4*MAX(O156-V156,0),0),0)/I156,2),0))</f>
        <v>0</v>
      </c>
      <c r="AI156" s="86">
        <f>IF(Y156="No",0,IFERROR(ROUNDDOWN(INDEX('90% of ACR'!R:R,MATCH(H:H,'90% of ACR'!A:A,0))*IF(J156&gt;0,IF(P156&gt;0,$R$4*MAX(P156-W156,0),0),0)/J156,2),0))</f>
        <v>0.21</v>
      </c>
      <c r="AJ156" s="45">
        <f t="shared" si="68"/>
        <v>0</v>
      </c>
      <c r="AK156" s="45">
        <f t="shared" si="68"/>
        <v>231103.16770291893</v>
      </c>
      <c r="AL156" s="47">
        <f t="shared" si="69"/>
        <v>0</v>
      </c>
      <c r="AM156" s="47">
        <f t="shared" si="69"/>
        <v>0.38</v>
      </c>
      <c r="AN156" s="87">
        <f>IFERROR(INDEX(FeeCalc!P:P,MATCH(C156,FeeCalc!F:F,0)),0)</f>
        <v>418186.68441480573</v>
      </c>
      <c r="AO156" s="87">
        <f>IFERROR(INDEX(FeeCalc!S:S,MATCH(C156,FeeCalc!F:F,0)),0)</f>
        <v>25775.69581542071</v>
      </c>
      <c r="AP156" s="87">
        <f t="shared" si="70"/>
        <v>443962.38023022644</v>
      </c>
      <c r="AQ156" s="72">
        <f t="shared" si="71"/>
        <v>188387.44472785245</v>
      </c>
      <c r="AR156" s="72">
        <f t="shared" si="72"/>
        <v>94193.722363926223</v>
      </c>
      <c r="AS156" s="72">
        <f t="shared" si="73"/>
        <v>94193.722363926223</v>
      </c>
      <c r="AT156" s="72">
        <f>IFERROR(IFERROR(INDEX('2023 IP UPL Data'!L:L,MATCH(A:A,'2023 IP UPL Data'!B:B,0)),INDEX('2023 IMD UPL Data'!I:I,MATCH(A:A,'2023 IMD UPL Data'!B:B,0))),0)</f>
        <v>0</v>
      </c>
      <c r="AU156" s="72">
        <f>IFERROR(IF(F154="IMD",0,INDEX('2023 OP UPL Data'!J:J,MATCH(A:A,'2023 OP UPL Data'!B:B,0))),0)</f>
        <v>552625.90516556287</v>
      </c>
      <c r="AV156" s="45">
        <f t="shared" si="74"/>
        <v>552625.90516556287</v>
      </c>
      <c r="AW156" s="72">
        <f>IFERROR(IFERROR(INDEX('2023 IP UPL Data'!M:M,MATCH(A:A,'2023 IP UPL Data'!B:B,0)),INDEX('2023 IMD UPL Data'!K:K,MATCH(A:A,'2023 IMD UPL Data'!B:B,0))),0)</f>
        <v>0</v>
      </c>
      <c r="AX156" s="72">
        <f>IFERROR(IF(F154="IMD",0,INDEX('2023 OP UPL Data'!L:L,MATCH(A:A,'2023 OP UPL Data'!B:B,0))),0)</f>
        <v>428305.24</v>
      </c>
      <c r="AY156" s="45">
        <f t="shared" si="75"/>
        <v>428305.24</v>
      </c>
      <c r="AZ156" s="72">
        <v>0</v>
      </c>
      <c r="BA156" s="72">
        <v>1085337.0298479409</v>
      </c>
      <c r="BB156" s="72">
        <f t="shared" si="76"/>
        <v>0</v>
      </c>
      <c r="BC156" s="72">
        <f t="shared" si="76"/>
        <v>898253.51313605416</v>
      </c>
      <c r="BD156" s="72">
        <f t="shared" si="77"/>
        <v>898253.51313605416</v>
      </c>
      <c r="BE156" s="94">
        <f t="shared" si="78"/>
        <v>0</v>
      </c>
      <c r="BF156" s="94">
        <f t="shared" si="78"/>
        <v>657031.78984794091</v>
      </c>
      <c r="BG156" s="73">
        <f>IFERROR(INDEX('2023 IP UPL Data'!K:K,MATCH(A156,'2023 IP UPL Data'!B:B,0)),0)</f>
        <v>0</v>
      </c>
    </row>
    <row r="157" spans="1:59">
      <c r="A157" s="124" t="s">
        <v>1171</v>
      </c>
      <c r="B157" s="149" t="s">
        <v>1171</v>
      </c>
      <c r="C157" s="31" t="s">
        <v>1172</v>
      </c>
      <c r="D157" s="181" t="s">
        <v>1172</v>
      </c>
      <c r="E157" s="144" t="s">
        <v>3131</v>
      </c>
      <c r="F157" s="120" t="s">
        <v>2768</v>
      </c>
      <c r="G157" s="120" t="s">
        <v>487</v>
      </c>
      <c r="H157" s="43" t="str">
        <f t="shared" si="58"/>
        <v>Rural Bexar</v>
      </c>
      <c r="I157" s="45">
        <f>INDEX(FeeCalc!M:M,MATCH(C:C,FeeCalc!F:F,0))</f>
        <v>168083.34649417459</v>
      </c>
      <c r="J157" s="45">
        <f>INDEX(FeeCalc!L:L,MATCH(C:C,FeeCalc!F:F,0))</f>
        <v>1331531.5913828067</v>
      </c>
      <c r="K157" s="45">
        <f t="shared" si="59"/>
        <v>1499614.9378769812</v>
      </c>
      <c r="L157" s="45">
        <f>IFERROR(IFERROR(INDEX('2023 IP UPL Data'!N:N,MATCH(A:A,'2023 IP UPL Data'!B:B,0)),INDEX('2023 IMD UPL Data'!M:M,MATCH(A:A,'2023 IMD UPL Data'!B:B,0))),0)</f>
        <v>-66384.508371569769</v>
      </c>
      <c r="M157" s="45">
        <f>IFERROR((IF(F157="IMD",0,INDEX('2023 OP UPL Data'!M:M,MATCH(A:A,'2023 OP UPL Data'!B:B,0)))),0)</f>
        <v>593549.69657142856</v>
      </c>
      <c r="N157" s="45">
        <f t="shared" si="60"/>
        <v>527165.18819985876</v>
      </c>
      <c r="O157" s="45">
        <v>24999.457695018908</v>
      </c>
      <c r="P157" s="45">
        <v>971518.19201738574</v>
      </c>
      <c r="Q157" s="45">
        <f t="shared" si="61"/>
        <v>996517.6497124047</v>
      </c>
      <c r="R157" s="45" t="str">
        <f t="shared" si="62"/>
        <v>Yes</v>
      </c>
      <c r="S157" s="46" t="str">
        <f t="shared" si="62"/>
        <v>Yes</v>
      </c>
      <c r="T157" s="47">
        <f>ROUND(INDEX(Summary!H:H,MATCH(H:H,Summary!A:A,0)),2)</f>
        <v>0.15</v>
      </c>
      <c r="U157" s="47">
        <f>ROUND(INDEX(Summary!I:I,MATCH(H:H,Summary!A:A,0)),2)</f>
        <v>0.2</v>
      </c>
      <c r="V157" s="85">
        <f t="shared" si="63"/>
        <v>25212.501974126189</v>
      </c>
      <c r="W157" s="85">
        <f t="shared" si="63"/>
        <v>266306.31827656133</v>
      </c>
      <c r="X157" s="45">
        <f t="shared" si="64"/>
        <v>291518.82025068754</v>
      </c>
      <c r="Y157" s="45" t="s">
        <v>3223</v>
      </c>
      <c r="Z157" s="45" t="str">
        <f t="shared" si="65"/>
        <v>No</v>
      </c>
      <c r="AA157" s="45" t="str">
        <f t="shared" si="65"/>
        <v>Yes</v>
      </c>
      <c r="AB157" s="45" t="str">
        <f t="shared" si="66"/>
        <v>Yes</v>
      </c>
      <c r="AC157" s="86">
        <f t="shared" si="79"/>
        <v>0</v>
      </c>
      <c r="AD157" s="86">
        <f t="shared" si="80"/>
        <v>0.37</v>
      </c>
      <c r="AE157" s="45">
        <f t="shared" si="81"/>
        <v>0</v>
      </c>
      <c r="AF157" s="45">
        <f t="shared" si="81"/>
        <v>492666.68881163845</v>
      </c>
      <c r="AG157" s="45">
        <f t="shared" si="67"/>
        <v>492666.68881163845</v>
      </c>
      <c r="AH157" s="47">
        <f>IF(Y157="No",0,IFERROR(ROUNDDOWN(INDEX('90% of ACR'!K:K,MATCH(H:H,'90% of ACR'!A:A,0))*IF(I157&gt;0,IF(O157&gt;0,$R$4*MAX(O157-V157,0),0),0)/I157,2),0))</f>
        <v>0</v>
      </c>
      <c r="AI157" s="86">
        <f>IF(Y157="No",0,IFERROR(ROUNDDOWN(INDEX('90% of ACR'!R:R,MATCH(H:H,'90% of ACR'!A:A,0))*IF(J157&gt;0,IF(P157&gt;0,$R$4*MAX(P157-W157,0),0),0)/J157,2),0))</f>
        <v>0.36</v>
      </c>
      <c r="AJ157" s="45">
        <f t="shared" si="68"/>
        <v>0</v>
      </c>
      <c r="AK157" s="45">
        <f t="shared" si="68"/>
        <v>479351.37289781036</v>
      </c>
      <c r="AL157" s="47">
        <f t="shared" si="69"/>
        <v>0.15</v>
      </c>
      <c r="AM157" s="47">
        <f t="shared" si="69"/>
        <v>0.56000000000000005</v>
      </c>
      <c r="AN157" s="87">
        <f>IFERROR(INDEX(FeeCalc!P:P,MATCH(C157,FeeCalc!F:F,0)),0)</f>
        <v>770870.19314849796</v>
      </c>
      <c r="AO157" s="87">
        <f>IFERROR(INDEX(FeeCalc!S:S,MATCH(C157,FeeCalc!F:F,0)),0)</f>
        <v>47081.177823972881</v>
      </c>
      <c r="AP157" s="87">
        <f t="shared" si="70"/>
        <v>817951.37097247085</v>
      </c>
      <c r="AQ157" s="72">
        <f t="shared" si="71"/>
        <v>347082.94114749052</v>
      </c>
      <c r="AR157" s="72">
        <f t="shared" si="72"/>
        <v>173541.47057374526</v>
      </c>
      <c r="AS157" s="72">
        <f t="shared" si="73"/>
        <v>173541.47057374526</v>
      </c>
      <c r="AT157" s="72">
        <f>IFERROR(IFERROR(INDEX('2023 IP UPL Data'!L:L,MATCH(A:A,'2023 IP UPL Data'!B:B,0)),INDEX('2023 IMD UPL Data'!I:I,MATCH(A:A,'2023 IMD UPL Data'!B:B,0))),0)</f>
        <v>235377.40837156976</v>
      </c>
      <c r="AU157" s="72">
        <f>IFERROR(IF(F155="IMD",0,INDEX('2023 OP UPL Data'!J:J,MATCH(A:A,'2023 OP UPL Data'!B:B,0))),0)</f>
        <v>512561.35342857148</v>
      </c>
      <c r="AV157" s="45">
        <f t="shared" si="74"/>
        <v>747938.76180014131</v>
      </c>
      <c r="AW157" s="72">
        <f>IFERROR(IFERROR(INDEX('2023 IP UPL Data'!M:M,MATCH(A:A,'2023 IP UPL Data'!B:B,0)),INDEX('2023 IMD UPL Data'!K:K,MATCH(A:A,'2023 IMD UPL Data'!B:B,0))),0)</f>
        <v>168992.9</v>
      </c>
      <c r="AX157" s="72">
        <f>IFERROR(IF(F155="IMD",0,INDEX('2023 OP UPL Data'!L:L,MATCH(A:A,'2023 OP UPL Data'!B:B,0))),0)</f>
        <v>1106111.05</v>
      </c>
      <c r="AY157" s="45">
        <f t="shared" si="75"/>
        <v>1275103.95</v>
      </c>
      <c r="AZ157" s="72">
        <v>260376.86606658867</v>
      </c>
      <c r="BA157" s="72">
        <v>1484079.5454459572</v>
      </c>
      <c r="BB157" s="72">
        <f t="shared" si="76"/>
        <v>235164.36409246249</v>
      </c>
      <c r="BC157" s="72">
        <f t="shared" si="76"/>
        <v>1217773.2271693959</v>
      </c>
      <c r="BD157" s="72">
        <f t="shared" si="77"/>
        <v>1452937.5912618581</v>
      </c>
      <c r="BE157" s="94">
        <f t="shared" si="78"/>
        <v>91383.966066588677</v>
      </c>
      <c r="BF157" s="94">
        <f t="shared" si="78"/>
        <v>377968.49544595717</v>
      </c>
      <c r="BG157" s="73">
        <f>IFERROR(INDEX('2023 IP UPL Data'!K:K,MATCH(A157,'2023 IP UPL Data'!B:B,0)),0)</f>
        <v>0</v>
      </c>
    </row>
    <row r="158" spans="1:59">
      <c r="A158" s="124" t="s">
        <v>46</v>
      </c>
      <c r="B158" s="149" t="s">
        <v>46</v>
      </c>
      <c r="C158" s="31" t="s">
        <v>47</v>
      </c>
      <c r="D158" s="181" t="s">
        <v>47</v>
      </c>
      <c r="E158" s="144" t="s">
        <v>3508</v>
      </c>
      <c r="F158" s="120" t="s">
        <v>2718</v>
      </c>
      <c r="G158" s="120" t="s">
        <v>1530</v>
      </c>
      <c r="H158" s="43" t="str">
        <f t="shared" si="58"/>
        <v>Urban Lubbock</v>
      </c>
      <c r="I158" s="45">
        <f>INDEX(FeeCalc!M:M,MATCH(C:C,FeeCalc!F:F,0))</f>
        <v>5191375.7369738622</v>
      </c>
      <c r="J158" s="45">
        <f>INDEX(FeeCalc!L:L,MATCH(C:C,FeeCalc!F:F,0))</f>
        <v>4462932.7685605008</v>
      </c>
      <c r="K158" s="45">
        <f t="shared" si="59"/>
        <v>9654308.505534362</v>
      </c>
      <c r="L158" s="45">
        <f>IFERROR(IFERROR(INDEX('2023 IP UPL Data'!N:N,MATCH(A:A,'2023 IP UPL Data'!B:B,0)),INDEX('2023 IMD UPL Data'!M:M,MATCH(A:A,'2023 IMD UPL Data'!B:B,0))),0)</f>
        <v>4077467.9787500016</v>
      </c>
      <c r="M158" s="45">
        <f>IFERROR((IF(F158="IMD",0,INDEX('2023 OP UPL Data'!M:M,MATCH(A:A,'2023 OP UPL Data'!B:B,0)))),0)</f>
        <v>5792049.3350000009</v>
      </c>
      <c r="N158" s="45">
        <f t="shared" si="60"/>
        <v>9869517.3137500025</v>
      </c>
      <c r="O158" s="45">
        <v>18824189.388025567</v>
      </c>
      <c r="P158" s="45">
        <v>13656454.795142541</v>
      </c>
      <c r="Q158" s="45">
        <f t="shared" si="61"/>
        <v>32480644.183168106</v>
      </c>
      <c r="R158" s="45" t="str">
        <f t="shared" si="62"/>
        <v>Yes</v>
      </c>
      <c r="S158" s="46" t="str">
        <f t="shared" si="62"/>
        <v>Yes</v>
      </c>
      <c r="T158" s="47">
        <f>ROUND(INDEX(Summary!H:H,MATCH(H:H,Summary!A:A,0)),2)</f>
        <v>0</v>
      </c>
      <c r="U158" s="47">
        <f>ROUND(INDEX(Summary!I:I,MATCH(H:H,Summary!A:A,0)),2)</f>
        <v>0.96</v>
      </c>
      <c r="V158" s="85">
        <f t="shared" si="63"/>
        <v>0</v>
      </c>
      <c r="W158" s="85">
        <f t="shared" si="63"/>
        <v>4284415.4578180807</v>
      </c>
      <c r="X158" s="45">
        <f t="shared" si="64"/>
        <v>4284415.4578180807</v>
      </c>
      <c r="Y158" s="45" t="s">
        <v>3223</v>
      </c>
      <c r="Z158" s="45" t="str">
        <f t="shared" si="65"/>
        <v>Yes</v>
      </c>
      <c r="AA158" s="45" t="str">
        <f t="shared" si="65"/>
        <v>Yes</v>
      </c>
      <c r="AB158" s="45" t="str">
        <f t="shared" si="66"/>
        <v>Yes</v>
      </c>
      <c r="AC158" s="86">
        <f t="shared" si="79"/>
        <v>2.5299999999999998</v>
      </c>
      <c r="AD158" s="86">
        <f t="shared" si="80"/>
        <v>1.46</v>
      </c>
      <c r="AE158" s="45">
        <f t="shared" si="81"/>
        <v>13134180.61454387</v>
      </c>
      <c r="AF158" s="45">
        <f t="shared" si="81"/>
        <v>6515881.8420983311</v>
      </c>
      <c r="AG158" s="45">
        <f t="shared" si="67"/>
        <v>19650062.456642203</v>
      </c>
      <c r="AH158" s="47">
        <f>IF(Y158="No",0,IFERROR(ROUNDDOWN(INDEX('90% of ACR'!K:K,MATCH(H:H,'90% of ACR'!A:A,0))*IF(I158&gt;0,IF(O158&gt;0,$R$4*MAX(O158-V158,0),0),0)/I158,2),0))</f>
        <v>0.56999999999999995</v>
      </c>
      <c r="AI158" s="86">
        <f>IF(Y158="No",0,IFERROR(ROUNDDOWN(INDEX('90% of ACR'!R:R,MATCH(H:H,'90% of ACR'!A:A,0))*IF(J158&gt;0,IF(P158&gt;0,$R$4*MAX(P158-W158,0),0),0)/J158,2),0))</f>
        <v>1.44</v>
      </c>
      <c r="AJ158" s="45">
        <f t="shared" si="68"/>
        <v>2959084.1700751013</v>
      </c>
      <c r="AK158" s="45">
        <f t="shared" si="68"/>
        <v>6426623.1867271205</v>
      </c>
      <c r="AL158" s="47">
        <f t="shared" si="69"/>
        <v>0.56999999999999995</v>
      </c>
      <c r="AM158" s="47">
        <f t="shared" si="69"/>
        <v>2.4</v>
      </c>
      <c r="AN158" s="87">
        <f>IFERROR(INDEX(FeeCalc!P:P,MATCH(C158,FeeCalc!F:F,0)),0)</f>
        <v>13670122.814620303</v>
      </c>
      <c r="AO158" s="87">
        <f>IFERROR(INDEX(FeeCalc!S:S,MATCH(C158,FeeCalc!F:F,0)),0)</f>
        <v>848353.53264655836</v>
      </c>
      <c r="AP158" s="87">
        <f t="shared" si="70"/>
        <v>14518476.347266862</v>
      </c>
      <c r="AQ158" s="72">
        <f t="shared" si="71"/>
        <v>6160654.105388443</v>
      </c>
      <c r="AR158" s="72">
        <f t="shared" si="72"/>
        <v>3080327.0526942215</v>
      </c>
      <c r="AS158" s="72">
        <f t="shared" si="73"/>
        <v>3080327.0526942215</v>
      </c>
      <c r="AT158" s="72">
        <f>IFERROR(IFERROR(INDEX('2023 IP UPL Data'!L:L,MATCH(A:A,'2023 IP UPL Data'!B:B,0)),INDEX('2023 IMD UPL Data'!I:I,MATCH(A:A,'2023 IMD UPL Data'!B:B,0))),0)</f>
        <v>6436043.0812499989</v>
      </c>
      <c r="AU158" s="72">
        <f>IFERROR(IF(F156="IMD",0,INDEX('2023 OP UPL Data'!J:J,MATCH(A:A,'2023 OP UPL Data'!B:B,0))),0)</f>
        <v>3060369.5749999997</v>
      </c>
      <c r="AV158" s="45">
        <f t="shared" si="74"/>
        <v>9496412.6562499981</v>
      </c>
      <c r="AW158" s="72">
        <f>IFERROR(IFERROR(INDEX('2023 IP UPL Data'!M:M,MATCH(A:A,'2023 IP UPL Data'!B:B,0)),INDEX('2023 IMD UPL Data'!K:K,MATCH(A:A,'2023 IMD UPL Data'!B:B,0))),0)</f>
        <v>10513511.060000001</v>
      </c>
      <c r="AX158" s="72">
        <f>IFERROR(IF(F156="IMD",0,INDEX('2023 OP UPL Data'!L:L,MATCH(A:A,'2023 OP UPL Data'!B:B,0))),0)</f>
        <v>8852418.9100000001</v>
      </c>
      <c r="AY158" s="45">
        <f t="shared" si="75"/>
        <v>19365929.969999999</v>
      </c>
      <c r="AZ158" s="72">
        <v>25260232.469275568</v>
      </c>
      <c r="BA158" s="72">
        <v>16716824.37014254</v>
      </c>
      <c r="BB158" s="72">
        <f t="shared" si="76"/>
        <v>25260232.469275568</v>
      </c>
      <c r="BC158" s="72">
        <f t="shared" si="76"/>
        <v>12432408.912324458</v>
      </c>
      <c r="BD158" s="72">
        <f t="shared" si="77"/>
        <v>37692641.381600022</v>
      </c>
      <c r="BE158" s="94">
        <f t="shared" si="78"/>
        <v>14746721.409275567</v>
      </c>
      <c r="BF158" s="94">
        <f t="shared" si="78"/>
        <v>7864405.4601425398</v>
      </c>
      <c r="BG158" s="73">
        <f>IFERROR(INDEX('2023 IP UPL Data'!K:K,MATCH(A158,'2023 IP UPL Data'!B:B,0)),0)</f>
        <v>0</v>
      </c>
    </row>
    <row r="159" spans="1:59">
      <c r="A159" s="124" t="s">
        <v>750</v>
      </c>
      <c r="B159" s="149" t="s">
        <v>750</v>
      </c>
      <c r="C159" s="31" t="s">
        <v>751</v>
      </c>
      <c r="D159" s="181" t="s">
        <v>751</v>
      </c>
      <c r="E159" s="144" t="s">
        <v>3509</v>
      </c>
      <c r="F159" s="120" t="s">
        <v>2718</v>
      </c>
      <c r="G159" s="120" t="s">
        <v>1489</v>
      </c>
      <c r="H159" s="43" t="str">
        <f t="shared" si="58"/>
        <v>Urban MRSA Central</v>
      </c>
      <c r="I159" s="45">
        <f>INDEX(FeeCalc!M:M,MATCH(C:C,FeeCalc!F:F,0))</f>
        <v>2624937.4877910595</v>
      </c>
      <c r="J159" s="45">
        <f>INDEX(FeeCalc!L:L,MATCH(C:C,FeeCalc!F:F,0))</f>
        <v>3784445.5269183917</v>
      </c>
      <c r="K159" s="45">
        <f t="shared" si="59"/>
        <v>6409383.0147094512</v>
      </c>
      <c r="L159" s="45">
        <f>IFERROR(IFERROR(INDEX('2023 IP UPL Data'!N:N,MATCH(A:A,'2023 IP UPL Data'!B:B,0)),INDEX('2023 IMD UPL Data'!M:M,MATCH(A:A,'2023 IMD UPL Data'!B:B,0))),0)</f>
        <v>2589531.7892307686</v>
      </c>
      <c r="M159" s="45">
        <f>IFERROR((IF(F159="IMD",0,INDEX('2023 OP UPL Data'!M:M,MATCH(A:A,'2023 OP UPL Data'!B:B,0)))),0)</f>
        <v>5504240.5472781062</v>
      </c>
      <c r="N159" s="45">
        <f t="shared" si="60"/>
        <v>8093772.3365088748</v>
      </c>
      <c r="O159" s="45">
        <v>5718698.0899087414</v>
      </c>
      <c r="P159" s="45">
        <v>9264012.5136894919</v>
      </c>
      <c r="Q159" s="45">
        <f t="shared" si="61"/>
        <v>14982710.603598233</v>
      </c>
      <c r="R159" s="45" t="str">
        <f t="shared" si="62"/>
        <v>Yes</v>
      </c>
      <c r="S159" s="46" t="str">
        <f t="shared" si="62"/>
        <v>Yes</v>
      </c>
      <c r="T159" s="47">
        <f>ROUND(INDEX(Summary!H:H,MATCH(H:H,Summary!A:A,0)),2)</f>
        <v>0.78</v>
      </c>
      <c r="U159" s="47">
        <f>ROUND(INDEX(Summary!I:I,MATCH(H:H,Summary!A:A,0)),2)</f>
        <v>1.29</v>
      </c>
      <c r="V159" s="85">
        <f t="shared" si="63"/>
        <v>2047451.2404770264</v>
      </c>
      <c r="W159" s="85">
        <f t="shared" si="63"/>
        <v>4881934.7297247257</v>
      </c>
      <c r="X159" s="45">
        <f t="shared" si="64"/>
        <v>6929385.9702017521</v>
      </c>
      <c r="Y159" s="45" t="s">
        <v>3223</v>
      </c>
      <c r="Z159" s="45" t="str">
        <f t="shared" si="65"/>
        <v>Yes</v>
      </c>
      <c r="AA159" s="45" t="str">
        <f t="shared" si="65"/>
        <v>Yes</v>
      </c>
      <c r="AB159" s="45" t="str">
        <f t="shared" si="66"/>
        <v>Yes</v>
      </c>
      <c r="AC159" s="86">
        <f t="shared" si="79"/>
        <v>0.97</v>
      </c>
      <c r="AD159" s="86">
        <f t="shared" si="80"/>
        <v>0.81</v>
      </c>
      <c r="AE159" s="45">
        <f t="shared" si="81"/>
        <v>2546189.3631573278</v>
      </c>
      <c r="AF159" s="45">
        <f t="shared" si="81"/>
        <v>3065400.8768038973</v>
      </c>
      <c r="AG159" s="45">
        <f t="shared" si="67"/>
        <v>5611590.2399612255</v>
      </c>
      <c r="AH159" s="47">
        <f>IF(Y159="No",0,IFERROR(ROUNDDOWN(INDEX('90% of ACR'!K:K,MATCH(H:H,'90% of ACR'!A:A,0))*IF(I159&gt;0,IF(O159&gt;0,$R$4*MAX(O159-V159,0),0),0)/I159,2),0))</f>
        <v>0.97</v>
      </c>
      <c r="AI159" s="86">
        <f>IF(Y159="No",0,IFERROR(ROUNDDOWN(INDEX('90% of ACR'!R:R,MATCH(H:H,'90% of ACR'!A:A,0))*IF(J159&gt;0,IF(P159&gt;0,$R$4*MAX(P159-W159,0),0),0)/J159,2),0))</f>
        <v>0.04</v>
      </c>
      <c r="AJ159" s="45">
        <f t="shared" si="68"/>
        <v>2546189.3631573278</v>
      </c>
      <c r="AK159" s="45">
        <f t="shared" si="68"/>
        <v>151377.82107673568</v>
      </c>
      <c r="AL159" s="47">
        <f t="shared" si="69"/>
        <v>1.75</v>
      </c>
      <c r="AM159" s="47">
        <f t="shared" si="69"/>
        <v>1.33</v>
      </c>
      <c r="AN159" s="87">
        <f>IFERROR(INDEX(FeeCalc!P:P,MATCH(C159,FeeCalc!F:F,0)),0)</f>
        <v>9626953.1544358153</v>
      </c>
      <c r="AO159" s="87">
        <f>IFERROR(INDEX(FeeCalc!S:S,MATCH(C159,FeeCalc!F:F,0)),0)</f>
        <v>594898.84667225182</v>
      </c>
      <c r="AP159" s="87">
        <f t="shared" si="70"/>
        <v>10221852.001108067</v>
      </c>
      <c r="AQ159" s="72">
        <f t="shared" si="71"/>
        <v>4337458.9033341892</v>
      </c>
      <c r="AR159" s="72">
        <f t="shared" si="72"/>
        <v>2168729.4516670946</v>
      </c>
      <c r="AS159" s="72">
        <f t="shared" si="73"/>
        <v>2168729.4516670946</v>
      </c>
      <c r="AT159" s="72">
        <f>IFERROR(IFERROR(INDEX('2023 IP UPL Data'!L:L,MATCH(A:A,'2023 IP UPL Data'!B:B,0)),INDEX('2023 IMD UPL Data'!I:I,MATCH(A:A,'2023 IMD UPL Data'!B:B,0))),0)</f>
        <v>2146396.230769231</v>
      </c>
      <c r="AU159" s="72">
        <f>IFERROR(IF(F157="IMD",0,INDEX('2023 OP UPL Data'!J:J,MATCH(A:A,'2023 OP UPL Data'!B:B,0))),0)</f>
        <v>2026727.6627218938</v>
      </c>
      <c r="AV159" s="45">
        <f t="shared" si="74"/>
        <v>4173123.8934911247</v>
      </c>
      <c r="AW159" s="72">
        <f>IFERROR(IFERROR(INDEX('2023 IP UPL Data'!M:M,MATCH(A:A,'2023 IP UPL Data'!B:B,0)),INDEX('2023 IMD UPL Data'!K:K,MATCH(A:A,'2023 IMD UPL Data'!B:B,0))),0)</f>
        <v>4735928.0199999996</v>
      </c>
      <c r="AX159" s="72">
        <f>IFERROR(IF(F157="IMD",0,INDEX('2023 OP UPL Data'!L:L,MATCH(A:A,'2023 OP UPL Data'!B:B,0))),0)</f>
        <v>7530968.21</v>
      </c>
      <c r="AY159" s="45">
        <f t="shared" si="75"/>
        <v>12266896.23</v>
      </c>
      <c r="AZ159" s="72">
        <v>7865094.3206779724</v>
      </c>
      <c r="BA159" s="72">
        <v>11290740.176411385</v>
      </c>
      <c r="BB159" s="72">
        <f t="shared" si="76"/>
        <v>5817643.080200946</v>
      </c>
      <c r="BC159" s="72">
        <f t="shared" si="76"/>
        <v>6408805.446686659</v>
      </c>
      <c r="BD159" s="72">
        <f t="shared" si="77"/>
        <v>12226448.526887603</v>
      </c>
      <c r="BE159" s="94">
        <f t="shared" si="78"/>
        <v>3129166.3006779728</v>
      </c>
      <c r="BF159" s="94">
        <f t="shared" si="78"/>
        <v>3759771.9664113848</v>
      </c>
      <c r="BG159" s="73">
        <f>IFERROR(INDEX('2023 IP UPL Data'!K:K,MATCH(A159,'2023 IP UPL Data'!B:B,0)),0)</f>
        <v>0</v>
      </c>
    </row>
    <row r="160" spans="1:59">
      <c r="A160" s="124" t="s">
        <v>317</v>
      </c>
      <c r="B160" s="149" t="s">
        <v>317</v>
      </c>
      <c r="C160" s="31" t="s">
        <v>318</v>
      </c>
      <c r="D160" s="181" t="s">
        <v>318</v>
      </c>
      <c r="E160" s="144" t="s">
        <v>3510</v>
      </c>
      <c r="F160" s="120" t="s">
        <v>2718</v>
      </c>
      <c r="G160" s="120" t="s">
        <v>1530</v>
      </c>
      <c r="H160" s="43" t="str">
        <f t="shared" si="58"/>
        <v>Urban Lubbock</v>
      </c>
      <c r="I160" s="45">
        <f>INDEX(FeeCalc!M:M,MATCH(C:C,FeeCalc!F:F,0))</f>
        <v>60965.896647861016</v>
      </c>
      <c r="J160" s="45">
        <f>INDEX(FeeCalc!L:L,MATCH(C:C,FeeCalc!F:F,0))</f>
        <v>310503.73119129799</v>
      </c>
      <c r="K160" s="45">
        <f t="shared" si="59"/>
        <v>371469.62783915899</v>
      </c>
      <c r="L160" s="45">
        <f>IFERROR(IFERROR(INDEX('2023 IP UPL Data'!N:N,MATCH(A:A,'2023 IP UPL Data'!B:B,0)),INDEX('2023 IMD UPL Data'!M:M,MATCH(A:A,'2023 IMD UPL Data'!B:B,0))),0)</f>
        <v>4459.9075000000048</v>
      </c>
      <c r="M160" s="45">
        <f>IFERROR((IF(F160="IMD",0,INDEX('2023 OP UPL Data'!M:M,MATCH(A:A,'2023 OP UPL Data'!B:B,0)))),0)</f>
        <v>784082.4425</v>
      </c>
      <c r="N160" s="45">
        <f t="shared" si="60"/>
        <v>788542.35</v>
      </c>
      <c r="O160" s="45">
        <v>43342.534578198887</v>
      </c>
      <c r="P160" s="45">
        <v>1029345.5870347559</v>
      </c>
      <c r="Q160" s="45">
        <f t="shared" si="61"/>
        <v>1072688.1216129547</v>
      </c>
      <c r="R160" s="45" t="str">
        <f t="shared" si="62"/>
        <v>Yes</v>
      </c>
      <c r="S160" s="46" t="str">
        <f t="shared" si="62"/>
        <v>Yes</v>
      </c>
      <c r="T160" s="47">
        <f>ROUND(INDEX(Summary!H:H,MATCH(H:H,Summary!A:A,0)),2)</f>
        <v>0</v>
      </c>
      <c r="U160" s="47">
        <f>ROUND(INDEX(Summary!I:I,MATCH(H:H,Summary!A:A,0)),2)</f>
        <v>0.96</v>
      </c>
      <c r="V160" s="85">
        <f t="shared" si="63"/>
        <v>0</v>
      </c>
      <c r="W160" s="85">
        <f t="shared" si="63"/>
        <v>298083.58194364607</v>
      </c>
      <c r="X160" s="45">
        <f t="shared" si="64"/>
        <v>298083.58194364607</v>
      </c>
      <c r="Y160" s="45" t="s">
        <v>3223</v>
      </c>
      <c r="Z160" s="45" t="str">
        <f t="shared" si="65"/>
        <v>Yes</v>
      </c>
      <c r="AA160" s="45" t="str">
        <f t="shared" si="65"/>
        <v>Yes</v>
      </c>
      <c r="AB160" s="45" t="str">
        <f t="shared" si="66"/>
        <v>Yes</v>
      </c>
      <c r="AC160" s="86">
        <f t="shared" si="79"/>
        <v>0.5</v>
      </c>
      <c r="AD160" s="86">
        <f t="shared" si="80"/>
        <v>1.64</v>
      </c>
      <c r="AE160" s="45">
        <f t="shared" si="81"/>
        <v>30482.948323930508</v>
      </c>
      <c r="AF160" s="45">
        <f t="shared" si="81"/>
        <v>509226.11915372865</v>
      </c>
      <c r="AG160" s="45">
        <f t="shared" si="67"/>
        <v>539709.06747765921</v>
      </c>
      <c r="AH160" s="47">
        <f>IF(Y160="No",0,IFERROR(ROUNDDOWN(INDEX('90% of ACR'!K:K,MATCH(H:H,'90% of ACR'!A:A,0))*IF(I160&gt;0,IF(O160&gt;0,$R$4*MAX(O160-V160,0),0),0)/I160,2),0))</f>
        <v>0.11</v>
      </c>
      <c r="AI160" s="86">
        <f>IF(Y160="No",0,IFERROR(ROUNDDOWN(INDEX('90% of ACR'!R:R,MATCH(H:H,'90% of ACR'!A:A,0))*IF(J160&gt;0,IF(P160&gt;0,$R$4*MAX(P160-W160,0),0),0)/J160,2),0))</f>
        <v>1.62</v>
      </c>
      <c r="AJ160" s="45">
        <f t="shared" si="68"/>
        <v>6706.2486312647115</v>
      </c>
      <c r="AK160" s="45">
        <f t="shared" si="68"/>
        <v>503016.04452990281</v>
      </c>
      <c r="AL160" s="47">
        <f t="shared" si="69"/>
        <v>0.11</v>
      </c>
      <c r="AM160" s="47">
        <f t="shared" si="69"/>
        <v>2.58</v>
      </c>
      <c r="AN160" s="87">
        <f>IFERROR(INDEX(FeeCalc!P:P,MATCH(C160,FeeCalc!F:F,0)),0)</f>
        <v>807805.87510481349</v>
      </c>
      <c r="AO160" s="87">
        <f>IFERROR(INDEX(FeeCalc!S:S,MATCH(C160,FeeCalc!F:F,0)),0)</f>
        <v>49418.268764865512</v>
      </c>
      <c r="AP160" s="87">
        <f t="shared" si="70"/>
        <v>857224.14386967896</v>
      </c>
      <c r="AQ160" s="72">
        <f t="shared" si="71"/>
        <v>363747.63541650865</v>
      </c>
      <c r="AR160" s="72">
        <f t="shared" si="72"/>
        <v>181873.81770825433</v>
      </c>
      <c r="AS160" s="72">
        <f t="shared" si="73"/>
        <v>181873.81770825433</v>
      </c>
      <c r="AT160" s="72">
        <f>IFERROR(IFERROR(INDEX('2023 IP UPL Data'!L:L,MATCH(A:A,'2023 IP UPL Data'!B:B,0)),INDEX('2023 IMD UPL Data'!I:I,MATCH(A:A,'2023 IMD UPL Data'!B:B,0))),0)</f>
        <v>25501.562499999996</v>
      </c>
      <c r="AU160" s="72">
        <f>IFERROR(IF(F158="IMD",0,INDEX('2023 OP UPL Data'!J:J,MATCH(A:A,'2023 OP UPL Data'!B:B,0))),0)</f>
        <v>15957.787499999999</v>
      </c>
      <c r="AV160" s="45">
        <f t="shared" si="74"/>
        <v>41459.349999999991</v>
      </c>
      <c r="AW160" s="72">
        <f>IFERROR(IFERROR(INDEX('2023 IP UPL Data'!M:M,MATCH(A:A,'2023 IP UPL Data'!B:B,0)),INDEX('2023 IMD UPL Data'!K:K,MATCH(A:A,'2023 IMD UPL Data'!B:B,0))),0)</f>
        <v>29961.47</v>
      </c>
      <c r="AX160" s="72">
        <f>IFERROR(IF(F158="IMD",0,INDEX('2023 OP UPL Data'!L:L,MATCH(A:A,'2023 OP UPL Data'!B:B,0))),0)</f>
        <v>800040.23</v>
      </c>
      <c r="AY160" s="45">
        <f t="shared" si="75"/>
        <v>830001.7</v>
      </c>
      <c r="AZ160" s="72">
        <v>68844.097078198887</v>
      </c>
      <c r="BA160" s="72">
        <v>1045303.3745347558</v>
      </c>
      <c r="BB160" s="72">
        <f t="shared" si="76"/>
        <v>68844.097078198887</v>
      </c>
      <c r="BC160" s="72">
        <f t="shared" si="76"/>
        <v>747219.79259110976</v>
      </c>
      <c r="BD160" s="72">
        <f t="shared" si="77"/>
        <v>816063.88966930867</v>
      </c>
      <c r="BE160" s="94">
        <f t="shared" si="78"/>
        <v>38882.627078198886</v>
      </c>
      <c r="BF160" s="94">
        <f t="shared" si="78"/>
        <v>245263.14453475585</v>
      </c>
      <c r="BG160" s="73">
        <f>IFERROR(INDEX('2023 IP UPL Data'!K:K,MATCH(A160,'2023 IP UPL Data'!B:B,0)),0)</f>
        <v>0</v>
      </c>
    </row>
    <row r="161" spans="1:59">
      <c r="A161" s="124" t="s">
        <v>563</v>
      </c>
      <c r="B161" s="149" t="s">
        <v>563</v>
      </c>
      <c r="C161" s="31" t="s">
        <v>564</v>
      </c>
      <c r="D161" s="181" t="s">
        <v>564</v>
      </c>
      <c r="E161" s="144" t="s">
        <v>3113</v>
      </c>
      <c r="F161" s="120" t="s">
        <v>2718</v>
      </c>
      <c r="G161" s="120" t="s">
        <v>300</v>
      </c>
      <c r="H161" s="43" t="str">
        <f t="shared" si="58"/>
        <v>Urban Harris</v>
      </c>
      <c r="I161" s="45">
        <f>INDEX(FeeCalc!M:M,MATCH(C:C,FeeCalc!F:F,0))</f>
        <v>6327594.5674208822</v>
      </c>
      <c r="J161" s="45">
        <f>INDEX(FeeCalc!L:L,MATCH(C:C,FeeCalc!F:F,0))</f>
        <v>4893558.3322883835</v>
      </c>
      <c r="K161" s="45">
        <f t="shared" si="59"/>
        <v>11221152.899709266</v>
      </c>
      <c r="L161" s="45">
        <f>IFERROR(IFERROR(INDEX('2023 IP UPL Data'!N:N,MATCH(A:A,'2023 IP UPL Data'!B:B,0)),INDEX('2023 IMD UPL Data'!M:M,MATCH(A:A,'2023 IMD UPL Data'!B:B,0))),0)</f>
        <v>8295747.2316176463</v>
      </c>
      <c r="M161" s="45">
        <f>IFERROR((IF(F161="IMD",0,INDEX('2023 OP UPL Data'!M:M,MATCH(A:A,'2023 OP UPL Data'!B:B,0)))),0)</f>
        <v>2998624.6605882356</v>
      </c>
      <c r="N161" s="45">
        <f t="shared" si="60"/>
        <v>11294371.892205883</v>
      </c>
      <c r="O161" s="45">
        <v>13708749.919646664</v>
      </c>
      <c r="P161" s="45">
        <v>4392463.4567387654</v>
      </c>
      <c r="Q161" s="45">
        <f t="shared" si="61"/>
        <v>18101213.376385428</v>
      </c>
      <c r="R161" s="45" t="str">
        <f t="shared" si="62"/>
        <v>Yes</v>
      </c>
      <c r="S161" s="46" t="str">
        <f t="shared" si="62"/>
        <v>Yes</v>
      </c>
      <c r="T161" s="47">
        <f>ROUND(INDEX(Summary!H:H,MATCH(H:H,Summary!A:A,0)),2)</f>
        <v>2.59</v>
      </c>
      <c r="U161" s="47">
        <f>ROUND(INDEX(Summary!I:I,MATCH(H:H,Summary!A:A,0)),2)</f>
        <v>0.85</v>
      </c>
      <c r="V161" s="85">
        <f t="shared" si="63"/>
        <v>16388469.929620083</v>
      </c>
      <c r="W161" s="85">
        <f t="shared" si="63"/>
        <v>4159524.582445126</v>
      </c>
      <c r="X161" s="45">
        <f t="shared" si="64"/>
        <v>20547994.512065209</v>
      </c>
      <c r="Y161" s="45" t="s">
        <v>3223</v>
      </c>
      <c r="Z161" s="45" t="str">
        <f t="shared" si="65"/>
        <v>No</v>
      </c>
      <c r="AA161" s="45" t="str">
        <f t="shared" si="65"/>
        <v>Yes</v>
      </c>
      <c r="AB161" s="45" t="str">
        <f t="shared" si="66"/>
        <v>Yes</v>
      </c>
      <c r="AC161" s="86">
        <f t="shared" si="79"/>
        <v>0</v>
      </c>
      <c r="AD161" s="86">
        <f t="shared" si="80"/>
        <v>0.03</v>
      </c>
      <c r="AE161" s="45">
        <f t="shared" si="81"/>
        <v>0</v>
      </c>
      <c r="AF161" s="45">
        <f t="shared" si="81"/>
        <v>146806.74996865151</v>
      </c>
      <c r="AG161" s="45">
        <f t="shared" si="67"/>
        <v>146806.74996865151</v>
      </c>
      <c r="AH161" s="47">
        <f>IF(Y161="No",0,IFERROR(ROUNDDOWN(INDEX('90% of ACR'!K:K,MATCH(H:H,'90% of ACR'!A:A,0))*IF(I161&gt;0,IF(O161&gt;0,$R$4*MAX(O161-V161,0),0),0)/I161,2),0))</f>
        <v>0</v>
      </c>
      <c r="AI161" s="86">
        <f>IF(Y161="No",0,IFERROR(ROUNDDOWN(INDEX('90% of ACR'!R:R,MATCH(H:H,'90% of ACR'!A:A,0))*IF(J161&gt;0,IF(P161&gt;0,$R$4*MAX(P161-W161,0),0),0)/J161,2),0))</f>
        <v>0.02</v>
      </c>
      <c r="AJ161" s="45">
        <f t="shared" si="68"/>
        <v>0</v>
      </c>
      <c r="AK161" s="45">
        <f t="shared" si="68"/>
        <v>97871.166645767677</v>
      </c>
      <c r="AL161" s="47">
        <f t="shared" si="69"/>
        <v>2.59</v>
      </c>
      <c r="AM161" s="47">
        <f t="shared" si="69"/>
        <v>0.87</v>
      </c>
      <c r="AN161" s="87">
        <f>IFERROR(INDEX(FeeCalc!P:P,MATCH(C161,FeeCalc!F:F,0)),0)</f>
        <v>20645865.678710975</v>
      </c>
      <c r="AO161" s="87">
        <f>IFERROR(INDEX(FeeCalc!S:S,MATCH(C161,FeeCalc!F:F,0)),0)</f>
        <v>1282439.6944482378</v>
      </c>
      <c r="AP161" s="87">
        <f t="shared" si="70"/>
        <v>21928305.373159211</v>
      </c>
      <c r="AQ161" s="72">
        <f t="shared" si="71"/>
        <v>9304881.6756033953</v>
      </c>
      <c r="AR161" s="72">
        <f t="shared" si="72"/>
        <v>4652440.8378016977</v>
      </c>
      <c r="AS161" s="72">
        <f t="shared" si="73"/>
        <v>4652440.8378016977</v>
      </c>
      <c r="AT161" s="72">
        <f>IFERROR(IFERROR(INDEX('2023 IP UPL Data'!L:L,MATCH(A:A,'2023 IP UPL Data'!B:B,0)),INDEX('2023 IMD UPL Data'!I:I,MATCH(A:A,'2023 IMD UPL Data'!B:B,0))),0)</f>
        <v>6937318.0183823537</v>
      </c>
      <c r="AU161" s="72">
        <f>IFERROR(IF(F159="IMD",0,INDEX('2023 OP UPL Data'!J:J,MATCH(A:A,'2023 OP UPL Data'!B:B,0))),0)</f>
        <v>3110619.2794117648</v>
      </c>
      <c r="AV161" s="45">
        <f t="shared" si="74"/>
        <v>10047937.297794119</v>
      </c>
      <c r="AW161" s="72">
        <f>IFERROR(IFERROR(INDEX('2023 IP UPL Data'!M:M,MATCH(A:A,'2023 IP UPL Data'!B:B,0)),INDEX('2023 IMD UPL Data'!K:K,MATCH(A:A,'2023 IMD UPL Data'!B:B,0))),0)</f>
        <v>15233065.25</v>
      </c>
      <c r="AX161" s="72">
        <f>IFERROR(IF(F159="IMD",0,INDEX('2023 OP UPL Data'!L:L,MATCH(A:A,'2023 OP UPL Data'!B:B,0))),0)</f>
        <v>6109243.9400000004</v>
      </c>
      <c r="AY161" s="45">
        <f t="shared" si="75"/>
        <v>21342309.190000001</v>
      </c>
      <c r="AZ161" s="72">
        <v>20646067.938029017</v>
      </c>
      <c r="BA161" s="72">
        <v>7503082.7361505302</v>
      </c>
      <c r="BB161" s="72">
        <f t="shared" si="76"/>
        <v>4257598.0084089339</v>
      </c>
      <c r="BC161" s="72">
        <f t="shared" si="76"/>
        <v>3343558.1537054041</v>
      </c>
      <c r="BD161" s="72">
        <f t="shared" si="77"/>
        <v>7601156.1621143371</v>
      </c>
      <c r="BE161" s="94">
        <f t="shared" si="78"/>
        <v>5413002.6880290173</v>
      </c>
      <c r="BF161" s="94">
        <f t="shared" si="78"/>
        <v>1393838.7961505298</v>
      </c>
      <c r="BG161" s="73">
        <f>IFERROR(INDEX('2023 IP UPL Data'!K:K,MATCH(A161,'2023 IP UPL Data'!B:B,0)),0)</f>
        <v>0</v>
      </c>
    </row>
    <row r="162" spans="1:59">
      <c r="A162" s="124" t="s">
        <v>1078</v>
      </c>
      <c r="B162" s="149" t="s">
        <v>1078</v>
      </c>
      <c r="C162" s="31" t="s">
        <v>1079</v>
      </c>
      <c r="D162" s="181" t="s">
        <v>1079</v>
      </c>
      <c r="E162" s="144" t="s">
        <v>3312</v>
      </c>
      <c r="F162" s="120" t="s">
        <v>2768</v>
      </c>
      <c r="G162" s="120" t="s">
        <v>1366</v>
      </c>
      <c r="H162" s="43" t="str">
        <f t="shared" si="58"/>
        <v>Rural Tarrant</v>
      </c>
      <c r="I162" s="45">
        <f>INDEX(FeeCalc!M:M,MATCH(C:C,FeeCalc!F:F,0))</f>
        <v>3702548.0887414725</v>
      </c>
      <c r="J162" s="45">
        <f>INDEX(FeeCalc!L:L,MATCH(C:C,FeeCalc!F:F,0))</f>
        <v>2890301.1761308825</v>
      </c>
      <c r="K162" s="45">
        <f t="shared" si="59"/>
        <v>6592849.2648723554</v>
      </c>
      <c r="L162" s="45">
        <f>IFERROR(IFERROR(INDEX('2023 IP UPL Data'!N:N,MATCH(A:A,'2023 IP UPL Data'!B:B,0)),INDEX('2023 IMD UPL Data'!M:M,MATCH(A:A,'2023 IMD UPL Data'!B:B,0))),0)</f>
        <v>147923.44567762455</v>
      </c>
      <c r="M162" s="45">
        <f>IFERROR((IF(F162="IMD",0,INDEX('2023 OP UPL Data'!M:M,MATCH(A:A,'2023 OP UPL Data'!B:B,0)))),0)</f>
        <v>1814302.2413071895</v>
      </c>
      <c r="N162" s="45">
        <f t="shared" si="60"/>
        <v>1962225.686984814</v>
      </c>
      <c r="O162" s="45">
        <v>2501114.9703316772</v>
      </c>
      <c r="P162" s="45">
        <v>5007293.8934419295</v>
      </c>
      <c r="Q162" s="45">
        <f t="shared" si="61"/>
        <v>7508408.8637736067</v>
      </c>
      <c r="R162" s="45" t="str">
        <f t="shared" si="62"/>
        <v>Yes</v>
      </c>
      <c r="S162" s="46" t="str">
        <f t="shared" si="62"/>
        <v>Yes</v>
      </c>
      <c r="T162" s="47">
        <f>ROUND(INDEX(Summary!H:H,MATCH(H:H,Summary!A:A,0)),2)</f>
        <v>0</v>
      </c>
      <c r="U162" s="47">
        <f>ROUND(INDEX(Summary!I:I,MATCH(H:H,Summary!A:A,0)),2)</f>
        <v>0.89</v>
      </c>
      <c r="V162" s="85">
        <f t="shared" si="63"/>
        <v>0</v>
      </c>
      <c r="W162" s="85">
        <f t="shared" si="63"/>
        <v>2572368.0467564855</v>
      </c>
      <c r="X162" s="45">
        <f t="shared" si="64"/>
        <v>2572368.0467564855</v>
      </c>
      <c r="Y162" s="45" t="s">
        <v>3223</v>
      </c>
      <c r="Z162" s="45" t="str">
        <f t="shared" si="65"/>
        <v>Yes</v>
      </c>
      <c r="AA162" s="45" t="str">
        <f t="shared" si="65"/>
        <v>Yes</v>
      </c>
      <c r="AB162" s="45" t="str">
        <f t="shared" si="66"/>
        <v>Yes</v>
      </c>
      <c r="AC162" s="86">
        <f t="shared" si="79"/>
        <v>0.47</v>
      </c>
      <c r="AD162" s="86">
        <f t="shared" si="80"/>
        <v>0.59</v>
      </c>
      <c r="AE162" s="45">
        <f t="shared" si="81"/>
        <v>1740197.601708492</v>
      </c>
      <c r="AF162" s="45">
        <f t="shared" si="81"/>
        <v>1705277.6939172205</v>
      </c>
      <c r="AG162" s="45">
        <f t="shared" si="67"/>
        <v>3445475.2956257127</v>
      </c>
      <c r="AH162" s="47">
        <f>IF(Y162="No",0,IFERROR(ROUNDDOWN(INDEX('90% of ACR'!K:K,MATCH(H:H,'90% of ACR'!A:A,0))*IF(I162&gt;0,IF(O162&gt;0,$R$4*MAX(O162-V162,0),0),0)/I162,2),0))</f>
        <v>0.47</v>
      </c>
      <c r="AI162" s="86">
        <f>IF(Y162="No",0,IFERROR(ROUNDDOWN(INDEX('90% of ACR'!R:R,MATCH(H:H,'90% of ACR'!A:A,0))*IF(J162&gt;0,IF(P162&gt;0,$R$4*MAX(P162-W162,0),0),0)/J162,2),0))</f>
        <v>0.57999999999999996</v>
      </c>
      <c r="AJ162" s="45">
        <f t="shared" si="68"/>
        <v>1740197.601708492</v>
      </c>
      <c r="AK162" s="45">
        <f t="shared" si="68"/>
        <v>1676374.6821559118</v>
      </c>
      <c r="AL162" s="47">
        <f t="shared" si="69"/>
        <v>0.47</v>
      </c>
      <c r="AM162" s="47">
        <f t="shared" si="69"/>
        <v>1.47</v>
      </c>
      <c r="AN162" s="87">
        <f>IFERROR(INDEX(FeeCalc!P:P,MATCH(C162,FeeCalc!F:F,0)),0)</f>
        <v>5988940.3306208896</v>
      </c>
      <c r="AO162" s="87">
        <f>IFERROR(INDEX(FeeCalc!S:S,MATCH(C162,FeeCalc!F:F,0)),0)</f>
        <v>371685.83767105255</v>
      </c>
      <c r="AP162" s="87">
        <f t="shared" si="70"/>
        <v>6360626.1682919422</v>
      </c>
      <c r="AQ162" s="72">
        <f t="shared" si="71"/>
        <v>2699017.2232436566</v>
      </c>
      <c r="AR162" s="72">
        <f t="shared" si="72"/>
        <v>1349508.6116218283</v>
      </c>
      <c r="AS162" s="72">
        <f t="shared" si="73"/>
        <v>1349508.6116218283</v>
      </c>
      <c r="AT162" s="72">
        <f>IFERROR(IFERROR(INDEX('2023 IP UPL Data'!L:L,MATCH(A:A,'2023 IP UPL Data'!B:B,0)),INDEX('2023 IMD UPL Data'!I:I,MATCH(A:A,'2023 IMD UPL Data'!B:B,0))),0)</f>
        <v>3485917.7743223757</v>
      </c>
      <c r="AU162" s="72">
        <f>IFERROR(IF(F160="IMD",0,INDEX('2023 OP UPL Data'!J:J,MATCH(A:A,'2023 OP UPL Data'!B:B,0))),0)</f>
        <v>1857076.3586928106</v>
      </c>
      <c r="AV162" s="45">
        <f t="shared" si="74"/>
        <v>5342994.1330151865</v>
      </c>
      <c r="AW162" s="72">
        <f>IFERROR(IFERROR(INDEX('2023 IP UPL Data'!M:M,MATCH(A:A,'2023 IP UPL Data'!B:B,0)),INDEX('2023 IMD UPL Data'!K:K,MATCH(A:A,'2023 IMD UPL Data'!B:B,0))),0)</f>
        <v>3633841.22</v>
      </c>
      <c r="AX162" s="72">
        <f>IFERROR(IF(F160="IMD",0,INDEX('2023 OP UPL Data'!L:L,MATCH(A:A,'2023 OP UPL Data'!B:B,0))),0)</f>
        <v>3671378.6</v>
      </c>
      <c r="AY162" s="45">
        <f t="shared" si="75"/>
        <v>7305219.8200000003</v>
      </c>
      <c r="AZ162" s="72">
        <v>5987032.7446540529</v>
      </c>
      <c r="BA162" s="72">
        <v>6864370.2521347404</v>
      </c>
      <c r="BB162" s="72">
        <f t="shared" si="76"/>
        <v>5987032.7446540529</v>
      </c>
      <c r="BC162" s="72">
        <f t="shared" si="76"/>
        <v>4292002.2053782549</v>
      </c>
      <c r="BD162" s="72">
        <f t="shared" si="77"/>
        <v>10279034.950032307</v>
      </c>
      <c r="BE162" s="94">
        <f t="shared" si="78"/>
        <v>2353191.5246540527</v>
      </c>
      <c r="BF162" s="94">
        <f t="shared" si="78"/>
        <v>3192991.6521347403</v>
      </c>
      <c r="BG162" s="73">
        <f>IFERROR(INDEX('2023 IP UPL Data'!K:K,MATCH(A162,'2023 IP UPL Data'!B:B,0)),0)</f>
        <v>0</v>
      </c>
    </row>
    <row r="163" spans="1:59">
      <c r="A163" s="124" t="s">
        <v>644</v>
      </c>
      <c r="B163" s="149" t="s">
        <v>644</v>
      </c>
      <c r="C163" s="31" t="s">
        <v>645</v>
      </c>
      <c r="D163" s="181" t="s">
        <v>645</v>
      </c>
      <c r="E163" s="144" t="s">
        <v>3130</v>
      </c>
      <c r="F163" s="120" t="s">
        <v>2718</v>
      </c>
      <c r="G163" s="120" t="s">
        <v>1517</v>
      </c>
      <c r="H163" s="43" t="str">
        <f t="shared" si="58"/>
        <v>Urban Hidalgo</v>
      </c>
      <c r="I163" s="45">
        <f>INDEX(FeeCalc!M:M,MATCH(C:C,FeeCalc!F:F,0))</f>
        <v>5560542.632822589</v>
      </c>
      <c r="J163" s="45">
        <f>INDEX(FeeCalc!L:L,MATCH(C:C,FeeCalc!F:F,0))</f>
        <v>2164253.031522043</v>
      </c>
      <c r="K163" s="45">
        <f t="shared" si="59"/>
        <v>7724795.6643446321</v>
      </c>
      <c r="L163" s="45">
        <f>IFERROR(IFERROR(INDEX('2023 IP UPL Data'!N:N,MATCH(A:A,'2023 IP UPL Data'!B:B,0)),INDEX('2023 IMD UPL Data'!M:M,MATCH(A:A,'2023 IMD UPL Data'!B:B,0))),0)</f>
        <v>7128916.7026627213</v>
      </c>
      <c r="M163" s="45">
        <f>IFERROR((IF(F163="IMD",0,INDEX('2023 OP UPL Data'!M:M,MATCH(A:A,'2023 OP UPL Data'!B:B,0)))),0)</f>
        <v>4101937.1569822486</v>
      </c>
      <c r="N163" s="45">
        <f t="shared" si="60"/>
        <v>11230853.85964497</v>
      </c>
      <c r="O163" s="45">
        <v>23043225.117067602</v>
      </c>
      <c r="P163" s="45">
        <v>5970379.612518047</v>
      </c>
      <c r="Q163" s="45">
        <f t="shared" si="61"/>
        <v>29013604.729585648</v>
      </c>
      <c r="R163" s="45" t="str">
        <f t="shared" si="62"/>
        <v>Yes</v>
      </c>
      <c r="S163" s="46" t="str">
        <f t="shared" si="62"/>
        <v>Yes</v>
      </c>
      <c r="T163" s="47">
        <f>ROUND(INDEX(Summary!H:H,MATCH(H:H,Summary!A:A,0)),2)</f>
        <v>1.21</v>
      </c>
      <c r="U163" s="47">
        <f>ROUND(INDEX(Summary!I:I,MATCH(H:H,Summary!A:A,0)),2)</f>
        <v>0.94</v>
      </c>
      <c r="V163" s="85">
        <f t="shared" si="63"/>
        <v>6728256.5857153321</v>
      </c>
      <c r="W163" s="85">
        <f t="shared" si="63"/>
        <v>2034397.8496307204</v>
      </c>
      <c r="X163" s="45">
        <f t="shared" si="64"/>
        <v>8762654.4353460521</v>
      </c>
      <c r="Y163" s="45" t="s">
        <v>3223</v>
      </c>
      <c r="Z163" s="45" t="str">
        <f t="shared" si="65"/>
        <v>Yes</v>
      </c>
      <c r="AA163" s="45" t="str">
        <f t="shared" si="65"/>
        <v>Yes</v>
      </c>
      <c r="AB163" s="45" t="str">
        <f t="shared" si="66"/>
        <v>Yes</v>
      </c>
      <c r="AC163" s="86">
        <f t="shared" si="79"/>
        <v>2.04</v>
      </c>
      <c r="AD163" s="86">
        <f t="shared" si="80"/>
        <v>1.27</v>
      </c>
      <c r="AE163" s="45">
        <f t="shared" si="81"/>
        <v>11343506.970958082</v>
      </c>
      <c r="AF163" s="45">
        <f t="shared" si="81"/>
        <v>2748601.3500329945</v>
      </c>
      <c r="AG163" s="45">
        <f t="shared" si="67"/>
        <v>14092108.320991077</v>
      </c>
      <c r="AH163" s="47">
        <f>IF(Y163="No",0,IFERROR(ROUNDDOWN(INDEX('90% of ACR'!K:K,MATCH(H:H,'90% of ACR'!A:A,0))*IF(I163&gt;0,IF(O163&gt;0,$R$4*MAX(O163-V163,0),0),0)/I163,2),0))</f>
        <v>1.98</v>
      </c>
      <c r="AI163" s="86">
        <f>IF(Y163="No",0,IFERROR(ROUNDDOWN(INDEX('90% of ACR'!R:R,MATCH(H:H,'90% of ACR'!A:A,0))*IF(J163&gt;0,IF(P163&gt;0,$R$4*MAX(P163-W163,0),0),0)/J163,2),0))</f>
        <v>0.92</v>
      </c>
      <c r="AJ163" s="45">
        <f t="shared" si="68"/>
        <v>11009874.412988726</v>
      </c>
      <c r="AK163" s="45">
        <f t="shared" si="68"/>
        <v>1991112.7890002797</v>
      </c>
      <c r="AL163" s="47">
        <f t="shared" si="69"/>
        <v>3.19</v>
      </c>
      <c r="AM163" s="47">
        <f t="shared" si="69"/>
        <v>1.8599999999999999</v>
      </c>
      <c r="AN163" s="87">
        <f>IFERROR(INDEX(FeeCalc!P:P,MATCH(C163,FeeCalc!F:F,0)),0)</f>
        <v>21763641.637335058</v>
      </c>
      <c r="AO163" s="87">
        <f>IFERROR(INDEX(FeeCalc!S:S,MATCH(C163,FeeCalc!F:F,0)),0)</f>
        <v>1349220.7565081103</v>
      </c>
      <c r="AP163" s="87">
        <f t="shared" si="70"/>
        <v>23112862.39384317</v>
      </c>
      <c r="AQ163" s="72">
        <f t="shared" si="71"/>
        <v>9807527.1253042612</v>
      </c>
      <c r="AR163" s="72">
        <f t="shared" si="72"/>
        <v>4903763.5626521306</v>
      </c>
      <c r="AS163" s="72">
        <f t="shared" si="73"/>
        <v>4903763.5626521306</v>
      </c>
      <c r="AT163" s="72">
        <f>IFERROR(IFERROR(INDEX('2023 IP UPL Data'!L:L,MATCH(A:A,'2023 IP UPL Data'!B:B,0)),INDEX('2023 IMD UPL Data'!I:I,MATCH(A:A,'2023 IMD UPL Data'!B:B,0))),0)</f>
        <v>8521061.0473372787</v>
      </c>
      <c r="AU163" s="72">
        <f>IFERROR(IF(F161="IMD",0,INDEX('2023 OP UPL Data'!J:J,MATCH(A:A,'2023 OP UPL Data'!B:B,0))),0)</f>
        <v>1447909.2130177515</v>
      </c>
      <c r="AV163" s="45">
        <f t="shared" si="74"/>
        <v>9968970.2603550293</v>
      </c>
      <c r="AW163" s="72">
        <f>IFERROR(IFERROR(INDEX('2023 IP UPL Data'!M:M,MATCH(A:A,'2023 IP UPL Data'!B:B,0)),INDEX('2023 IMD UPL Data'!K:K,MATCH(A:A,'2023 IMD UPL Data'!B:B,0))),0)</f>
        <v>15649977.75</v>
      </c>
      <c r="AX163" s="72">
        <f>IFERROR(IF(F161="IMD",0,INDEX('2023 OP UPL Data'!L:L,MATCH(A:A,'2023 OP UPL Data'!B:B,0))),0)</f>
        <v>5549846.3700000001</v>
      </c>
      <c r="AY163" s="45">
        <f t="shared" si="75"/>
        <v>21199824.120000001</v>
      </c>
      <c r="AZ163" s="72">
        <v>31564286.16440488</v>
      </c>
      <c r="BA163" s="72">
        <v>7418288.8255357984</v>
      </c>
      <c r="BB163" s="72">
        <f t="shared" si="76"/>
        <v>24836029.578689549</v>
      </c>
      <c r="BC163" s="72">
        <f t="shared" si="76"/>
        <v>5383890.9759050775</v>
      </c>
      <c r="BD163" s="72">
        <f t="shared" si="77"/>
        <v>30219920.554594629</v>
      </c>
      <c r="BE163" s="94">
        <f t="shared" si="78"/>
        <v>15914308.41440488</v>
      </c>
      <c r="BF163" s="94">
        <f t="shared" si="78"/>
        <v>1868442.4555357983</v>
      </c>
      <c r="BG163" s="73">
        <f>IFERROR(INDEX('2023 IP UPL Data'!K:K,MATCH(A163,'2023 IP UPL Data'!B:B,0)),0)</f>
        <v>0</v>
      </c>
    </row>
    <row r="164" spans="1:59">
      <c r="A164" s="124" t="s">
        <v>506</v>
      </c>
      <c r="B164" s="149" t="s">
        <v>506</v>
      </c>
      <c r="C164" s="31" t="s">
        <v>507</v>
      </c>
      <c r="D164" s="181" t="s">
        <v>507</v>
      </c>
      <c r="E164" s="144" t="s">
        <v>2873</v>
      </c>
      <c r="F164" s="120" t="s">
        <v>2718</v>
      </c>
      <c r="G164" s="120" t="s">
        <v>1553</v>
      </c>
      <c r="H164" s="43" t="str">
        <f t="shared" si="58"/>
        <v>Urban Nueces</v>
      </c>
      <c r="I164" s="45">
        <f>INDEX(FeeCalc!M:M,MATCH(C:C,FeeCalc!F:F,0))</f>
        <v>23112949.159705009</v>
      </c>
      <c r="J164" s="45">
        <f>INDEX(FeeCalc!L:L,MATCH(C:C,FeeCalc!F:F,0))</f>
        <v>4898140.6811953923</v>
      </c>
      <c r="K164" s="45">
        <f t="shared" si="59"/>
        <v>28011089.840900403</v>
      </c>
      <c r="L164" s="45">
        <f>IFERROR(IFERROR(INDEX('2023 IP UPL Data'!N:N,MATCH(A:A,'2023 IP UPL Data'!B:B,0)),INDEX('2023 IMD UPL Data'!M:M,MATCH(A:A,'2023 IMD UPL Data'!B:B,0))),0)</f>
        <v>17681201.120246917</v>
      </c>
      <c r="M164" s="45">
        <f>IFERROR((IF(F164="IMD",0,INDEX('2023 OP UPL Data'!M:M,MATCH(A:A,'2023 OP UPL Data'!B:B,0)))),0)</f>
        <v>7959555.1788888881</v>
      </c>
      <c r="N164" s="45">
        <f t="shared" si="60"/>
        <v>25640756.299135804</v>
      </c>
      <c r="O164" s="45">
        <v>49349260.584269144</v>
      </c>
      <c r="P164" s="45">
        <v>12242855.424066316</v>
      </c>
      <c r="Q164" s="45">
        <f t="shared" si="61"/>
        <v>61592116.008335456</v>
      </c>
      <c r="R164" s="45" t="str">
        <f t="shared" si="62"/>
        <v>Yes</v>
      </c>
      <c r="S164" s="46" t="str">
        <f t="shared" si="62"/>
        <v>Yes</v>
      </c>
      <c r="T164" s="47">
        <f>ROUND(INDEX(Summary!H:H,MATCH(H:H,Summary!A:A,0)),2)</f>
        <v>0.66</v>
      </c>
      <c r="U164" s="47">
        <f>ROUND(INDEX(Summary!I:I,MATCH(H:H,Summary!A:A,0)),2)</f>
        <v>1.49</v>
      </c>
      <c r="V164" s="85">
        <f t="shared" si="63"/>
        <v>15254546.445405306</v>
      </c>
      <c r="W164" s="85">
        <f t="shared" si="63"/>
        <v>7298229.6149811344</v>
      </c>
      <c r="X164" s="45">
        <f t="shared" si="64"/>
        <v>22552776.060386442</v>
      </c>
      <c r="Y164" s="45" t="s">
        <v>3223</v>
      </c>
      <c r="Z164" s="45" t="str">
        <f t="shared" si="65"/>
        <v>Yes</v>
      </c>
      <c r="AA164" s="45" t="str">
        <f t="shared" si="65"/>
        <v>Yes</v>
      </c>
      <c r="AB164" s="45" t="str">
        <f t="shared" si="66"/>
        <v>Yes</v>
      </c>
      <c r="AC164" s="86">
        <f t="shared" si="79"/>
        <v>1.03</v>
      </c>
      <c r="AD164" s="86">
        <f t="shared" si="80"/>
        <v>0.7</v>
      </c>
      <c r="AE164" s="45">
        <f t="shared" si="81"/>
        <v>23806337.63449616</v>
      </c>
      <c r="AF164" s="45">
        <f t="shared" si="81"/>
        <v>3428698.4768367745</v>
      </c>
      <c r="AG164" s="45">
        <f t="shared" si="67"/>
        <v>27235036.111332934</v>
      </c>
      <c r="AH164" s="47">
        <f>IF(Y164="No",0,IFERROR(ROUNDDOWN(INDEX('90% of ACR'!K:K,MATCH(H:H,'90% of ACR'!A:A,0))*IF(I164&gt;0,IF(O164&gt;0,$R$4*MAX(O164-V164,0),0),0)/I164,2),0))</f>
        <v>1.02</v>
      </c>
      <c r="AI164" s="86">
        <f>IF(Y164="No",0,IFERROR(ROUNDDOWN(INDEX('90% of ACR'!R:R,MATCH(H:H,'90% of ACR'!A:A,0))*IF(J164&gt;0,IF(P164&gt;0,$R$4*MAX(P164-W164,0),0),0)/J164,2),0))</f>
        <v>0.57999999999999996</v>
      </c>
      <c r="AJ164" s="45">
        <f t="shared" si="68"/>
        <v>23575208.142899111</v>
      </c>
      <c r="AK164" s="45">
        <f t="shared" si="68"/>
        <v>2840921.5950933271</v>
      </c>
      <c r="AL164" s="47">
        <f t="shared" si="69"/>
        <v>1.6800000000000002</v>
      </c>
      <c r="AM164" s="47">
        <f t="shared" si="69"/>
        <v>2.0699999999999998</v>
      </c>
      <c r="AN164" s="87">
        <f>IFERROR(INDEX(FeeCalc!P:P,MATCH(C164,FeeCalc!F:F,0)),0)</f>
        <v>48968905.798378885</v>
      </c>
      <c r="AO164" s="87">
        <f>IFERROR(INDEX(FeeCalc!S:S,MATCH(C164,FeeCalc!F:F,0)),0)</f>
        <v>3024908.6788967703</v>
      </c>
      <c r="AP164" s="87">
        <f t="shared" si="70"/>
        <v>51993814.477275655</v>
      </c>
      <c r="AQ164" s="72">
        <f t="shared" si="71"/>
        <v>22062639.284771334</v>
      </c>
      <c r="AR164" s="72">
        <f t="shared" si="72"/>
        <v>11031319.642385667</v>
      </c>
      <c r="AS164" s="72">
        <f t="shared" si="73"/>
        <v>11031319.642385667</v>
      </c>
      <c r="AT164" s="72">
        <f>IFERROR(IFERROR(INDEX('2023 IP UPL Data'!L:L,MATCH(A:A,'2023 IP UPL Data'!B:B,0)),INDEX('2023 IMD UPL Data'!I:I,MATCH(A:A,'2023 IMD UPL Data'!B:B,0))),0)</f>
        <v>22547635.419753082</v>
      </c>
      <c r="AU164" s="72">
        <f>IFERROR(IF(F162="IMD",0,INDEX('2023 OP UPL Data'!J:J,MATCH(A:A,'2023 OP UPL Data'!B:B,0))),0)</f>
        <v>2895999.111111111</v>
      </c>
      <c r="AV164" s="45">
        <f t="shared" si="74"/>
        <v>25443634.530864194</v>
      </c>
      <c r="AW164" s="72">
        <f>IFERROR(IFERROR(INDEX('2023 IP UPL Data'!M:M,MATCH(A:A,'2023 IP UPL Data'!B:B,0)),INDEX('2023 IMD UPL Data'!K:K,MATCH(A:A,'2023 IMD UPL Data'!B:B,0))),0)</f>
        <v>40228836.539999999</v>
      </c>
      <c r="AX164" s="72">
        <f>IFERROR(IF(F162="IMD",0,INDEX('2023 OP UPL Data'!L:L,MATCH(A:A,'2023 OP UPL Data'!B:B,0))),0)</f>
        <v>10855554.289999999</v>
      </c>
      <c r="AY164" s="45">
        <f t="shared" si="75"/>
        <v>51084390.829999998</v>
      </c>
      <c r="AZ164" s="72">
        <v>71896896.004022226</v>
      </c>
      <c r="BA164" s="72">
        <v>15138854.535177426</v>
      </c>
      <c r="BB164" s="72">
        <f t="shared" si="76"/>
        <v>56642349.558616921</v>
      </c>
      <c r="BC164" s="72">
        <f t="shared" si="76"/>
        <v>7840624.920196292</v>
      </c>
      <c r="BD164" s="72">
        <f t="shared" si="77"/>
        <v>64482974.478813209</v>
      </c>
      <c r="BE164" s="94">
        <f t="shared" si="78"/>
        <v>31668059.464022227</v>
      </c>
      <c r="BF164" s="94">
        <f t="shared" si="78"/>
        <v>4283300.2451774273</v>
      </c>
      <c r="BG164" s="73">
        <f>IFERROR(INDEX('2023 IP UPL Data'!K:K,MATCH(A164,'2023 IP UPL Data'!B:B,0)),0)</f>
        <v>0</v>
      </c>
    </row>
    <row r="165" spans="1:59">
      <c r="A165" s="124" t="s">
        <v>560</v>
      </c>
      <c r="B165" s="149" t="s">
        <v>560</v>
      </c>
      <c r="C165" s="31" t="s">
        <v>561</v>
      </c>
      <c r="D165" s="181" t="s">
        <v>561</v>
      </c>
      <c r="E165" s="144" t="s">
        <v>3112</v>
      </c>
      <c r="F165" s="120" t="s">
        <v>2718</v>
      </c>
      <c r="G165" s="120" t="s">
        <v>300</v>
      </c>
      <c r="H165" s="43" t="str">
        <f t="shared" si="58"/>
        <v>Urban Harris</v>
      </c>
      <c r="I165" s="45">
        <f>INDEX(FeeCalc!M:M,MATCH(C:C,FeeCalc!F:F,0))</f>
        <v>17466495.755442016</v>
      </c>
      <c r="J165" s="45">
        <f>INDEX(FeeCalc!L:L,MATCH(C:C,FeeCalc!F:F,0))</f>
        <v>8465939.5032266304</v>
      </c>
      <c r="K165" s="45">
        <f t="shared" si="59"/>
        <v>25932435.258668646</v>
      </c>
      <c r="L165" s="45">
        <f>IFERROR(IFERROR(INDEX('2023 IP UPL Data'!N:N,MATCH(A:A,'2023 IP UPL Data'!B:B,0)),INDEX('2023 IMD UPL Data'!M:M,MATCH(A:A,'2023 IMD UPL Data'!B:B,0))),0)</f>
        <v>19540379.781617641</v>
      </c>
      <c r="M165" s="45">
        <f>IFERROR((IF(F165="IMD",0,INDEX('2023 OP UPL Data'!M:M,MATCH(A:A,'2023 OP UPL Data'!B:B,0)))),0)</f>
        <v>5112169.6038235296</v>
      </c>
      <c r="N165" s="45">
        <f t="shared" si="60"/>
        <v>24652549.385441169</v>
      </c>
      <c r="O165" s="45">
        <v>51913967.49190329</v>
      </c>
      <c r="P165" s="45">
        <v>6515049.3970518578</v>
      </c>
      <c r="Q165" s="45">
        <f t="shared" si="61"/>
        <v>58429016.888955146</v>
      </c>
      <c r="R165" s="45" t="str">
        <f t="shared" si="62"/>
        <v>Yes</v>
      </c>
      <c r="S165" s="46" t="str">
        <f t="shared" si="62"/>
        <v>Yes</v>
      </c>
      <c r="T165" s="47">
        <f>ROUND(INDEX(Summary!H:H,MATCH(H:H,Summary!A:A,0)),2)</f>
        <v>2.59</v>
      </c>
      <c r="U165" s="47">
        <f>ROUND(INDEX(Summary!I:I,MATCH(H:H,Summary!A:A,0)),2)</f>
        <v>0.85</v>
      </c>
      <c r="V165" s="85">
        <f t="shared" si="63"/>
        <v>45238224.006594822</v>
      </c>
      <c r="W165" s="85">
        <f t="shared" si="63"/>
        <v>7196048.5777426353</v>
      </c>
      <c r="X165" s="45">
        <f t="shared" si="64"/>
        <v>52434272.584337458</v>
      </c>
      <c r="Y165" s="45" t="s">
        <v>3223</v>
      </c>
      <c r="Z165" s="45" t="str">
        <f t="shared" si="65"/>
        <v>No</v>
      </c>
      <c r="AA165" s="45" t="str">
        <f t="shared" si="65"/>
        <v>No</v>
      </c>
      <c r="AB165" s="45" t="str">
        <f t="shared" si="66"/>
        <v>Yes</v>
      </c>
      <c r="AC165" s="86">
        <f t="shared" si="79"/>
        <v>0.27</v>
      </c>
      <c r="AD165" s="86">
        <f t="shared" si="80"/>
        <v>0</v>
      </c>
      <c r="AE165" s="45">
        <f t="shared" si="81"/>
        <v>4715953.8539693449</v>
      </c>
      <c r="AF165" s="45">
        <f t="shared" si="81"/>
        <v>0</v>
      </c>
      <c r="AG165" s="45">
        <f t="shared" si="67"/>
        <v>4715953.8539693449</v>
      </c>
      <c r="AH165" s="47">
        <f>IF(Y165="No",0,IFERROR(ROUNDDOWN(INDEX('90% of ACR'!K:K,MATCH(H:H,'90% of ACR'!A:A,0))*IF(I165&gt;0,IF(O165&gt;0,$R$4*MAX(O165-V165,0),0),0)/I165,2),0))</f>
        <v>0</v>
      </c>
      <c r="AI165" s="86">
        <f>IF(Y165="No",0,IFERROR(ROUNDDOWN(INDEX('90% of ACR'!R:R,MATCH(H:H,'90% of ACR'!A:A,0))*IF(J165&gt;0,IF(P165&gt;0,$R$4*MAX(P165-W165,0),0),0)/J165,2),0))</f>
        <v>0</v>
      </c>
      <c r="AJ165" s="45">
        <f t="shared" si="68"/>
        <v>0</v>
      </c>
      <c r="AK165" s="45">
        <f t="shared" si="68"/>
        <v>0</v>
      </c>
      <c r="AL165" s="47">
        <f t="shared" si="69"/>
        <v>2.59</v>
      </c>
      <c r="AM165" s="47">
        <f t="shared" si="69"/>
        <v>0.85</v>
      </c>
      <c r="AN165" s="87">
        <f>IFERROR(INDEX(FeeCalc!P:P,MATCH(C165,FeeCalc!F:F,0)),0)</f>
        <v>52434272.584337458</v>
      </c>
      <c r="AO165" s="87">
        <f>IFERROR(INDEX(FeeCalc!S:S,MATCH(C165,FeeCalc!F:F,0)),0)</f>
        <v>3236409.7405501017</v>
      </c>
      <c r="AP165" s="87">
        <f t="shared" si="70"/>
        <v>55670682.324887559</v>
      </c>
      <c r="AQ165" s="72">
        <f t="shared" si="71"/>
        <v>23622851.97228419</v>
      </c>
      <c r="AR165" s="72">
        <f t="shared" si="72"/>
        <v>11811425.986142095</v>
      </c>
      <c r="AS165" s="72">
        <f t="shared" si="73"/>
        <v>11811425.986142095</v>
      </c>
      <c r="AT165" s="72">
        <f>IFERROR(IFERROR(INDEX('2023 IP UPL Data'!L:L,MATCH(A:A,'2023 IP UPL Data'!B:B,0)),INDEX('2023 IMD UPL Data'!I:I,MATCH(A:A,'2023 IMD UPL Data'!B:B,0))),0)</f>
        <v>19362868.518382356</v>
      </c>
      <c r="AU165" s="72">
        <f>IFERROR(IF(F163="IMD",0,INDEX('2023 OP UPL Data'!J:J,MATCH(A:A,'2023 OP UPL Data'!B:B,0))),0)</f>
        <v>5561021.0661764704</v>
      </c>
      <c r="AV165" s="45">
        <f t="shared" si="74"/>
        <v>24923889.584558826</v>
      </c>
      <c r="AW165" s="72">
        <f>IFERROR(IFERROR(INDEX('2023 IP UPL Data'!M:M,MATCH(A:A,'2023 IP UPL Data'!B:B,0)),INDEX('2023 IMD UPL Data'!K:K,MATCH(A:A,'2023 IMD UPL Data'!B:B,0))),0)</f>
        <v>38903248.299999997</v>
      </c>
      <c r="AX165" s="72">
        <f>IFERROR(IF(F163="IMD",0,INDEX('2023 OP UPL Data'!L:L,MATCH(A:A,'2023 OP UPL Data'!B:B,0))),0)</f>
        <v>10673190.67</v>
      </c>
      <c r="AY165" s="45">
        <f t="shared" si="75"/>
        <v>49576438.969999999</v>
      </c>
      <c r="AZ165" s="72">
        <v>71276836.010285646</v>
      </c>
      <c r="BA165" s="72">
        <v>12076070.463228328</v>
      </c>
      <c r="BB165" s="72">
        <f t="shared" si="76"/>
        <v>26038612.003690824</v>
      </c>
      <c r="BC165" s="72">
        <f t="shared" si="76"/>
        <v>4880021.8854856929</v>
      </c>
      <c r="BD165" s="72">
        <f t="shared" si="77"/>
        <v>30918633.889176518</v>
      </c>
      <c r="BE165" s="94">
        <f t="shared" si="78"/>
        <v>32373587.710285649</v>
      </c>
      <c r="BF165" s="94">
        <f t="shared" si="78"/>
        <v>1402879.7932283282</v>
      </c>
      <c r="BG165" s="73">
        <f>IFERROR(INDEX('2023 IP UPL Data'!K:K,MATCH(A165,'2023 IP UPL Data'!B:B,0)),0)</f>
        <v>0</v>
      </c>
    </row>
    <row r="166" spans="1:59">
      <c r="A166" s="124" t="s">
        <v>186</v>
      </c>
      <c r="B166" s="149" t="s">
        <v>186</v>
      </c>
      <c r="C166" s="31" t="s">
        <v>187</v>
      </c>
      <c r="D166" s="181" t="s">
        <v>187</v>
      </c>
      <c r="E166" s="144" t="s">
        <v>3115</v>
      </c>
      <c r="F166" s="120" t="s">
        <v>2718</v>
      </c>
      <c r="G166" s="120" t="s">
        <v>300</v>
      </c>
      <c r="H166" s="43" t="str">
        <f t="shared" si="58"/>
        <v>Urban Harris</v>
      </c>
      <c r="I166" s="45">
        <f>INDEX(FeeCalc!M:M,MATCH(C:C,FeeCalc!F:F,0))</f>
        <v>2714246.54080969</v>
      </c>
      <c r="J166" s="45">
        <f>INDEX(FeeCalc!L:L,MATCH(C:C,FeeCalc!F:F,0))</f>
        <v>876054.23757090094</v>
      </c>
      <c r="K166" s="45">
        <f t="shared" si="59"/>
        <v>3590300.778380591</v>
      </c>
      <c r="L166" s="45">
        <f>IFERROR(IFERROR(INDEX('2023 IP UPL Data'!N:N,MATCH(A:A,'2023 IP UPL Data'!B:B,0)),INDEX('2023 IMD UPL Data'!M:M,MATCH(A:A,'2023 IMD UPL Data'!B:B,0))),0)</f>
        <v>2934978.6149999993</v>
      </c>
      <c r="M166" s="45">
        <f>IFERROR((IF(F166="IMD",0,INDEX('2023 OP UPL Data'!M:M,MATCH(A:A,'2023 OP UPL Data'!B:B,0)))),0)</f>
        <v>1745131.2297058823</v>
      </c>
      <c r="N166" s="45">
        <f t="shared" si="60"/>
        <v>4680109.8447058816</v>
      </c>
      <c r="O166" s="45">
        <v>5892085.320208462</v>
      </c>
      <c r="P166" s="45">
        <v>1857929.4888766999</v>
      </c>
      <c r="Q166" s="45">
        <f t="shared" si="61"/>
        <v>7750014.8090851624</v>
      </c>
      <c r="R166" s="45" t="str">
        <f t="shared" si="62"/>
        <v>Yes</v>
      </c>
      <c r="S166" s="46" t="str">
        <f t="shared" si="62"/>
        <v>Yes</v>
      </c>
      <c r="T166" s="47">
        <f>ROUND(INDEX(Summary!H:H,MATCH(H:H,Summary!A:A,0)),2)</f>
        <v>2.59</v>
      </c>
      <c r="U166" s="47">
        <f>ROUND(INDEX(Summary!I:I,MATCH(H:H,Summary!A:A,0)),2)</f>
        <v>0.85</v>
      </c>
      <c r="V166" s="85">
        <f t="shared" si="63"/>
        <v>7029898.5406970968</v>
      </c>
      <c r="W166" s="85">
        <f t="shared" si="63"/>
        <v>744646.10193526582</v>
      </c>
      <c r="X166" s="45">
        <f t="shared" si="64"/>
        <v>7774544.6426323624</v>
      </c>
      <c r="Y166" s="45" t="s">
        <v>3223</v>
      </c>
      <c r="Z166" s="45" t="str">
        <f t="shared" si="65"/>
        <v>No</v>
      </c>
      <c r="AA166" s="45" t="str">
        <f t="shared" si="65"/>
        <v>Yes</v>
      </c>
      <c r="AB166" s="45" t="str">
        <f t="shared" si="66"/>
        <v>Yes</v>
      </c>
      <c r="AC166" s="86">
        <f t="shared" si="79"/>
        <v>0</v>
      </c>
      <c r="AD166" s="86">
        <f t="shared" si="80"/>
        <v>0.89</v>
      </c>
      <c r="AE166" s="45">
        <f t="shared" si="81"/>
        <v>0</v>
      </c>
      <c r="AF166" s="45">
        <f t="shared" si="81"/>
        <v>779688.27143810189</v>
      </c>
      <c r="AG166" s="45">
        <f t="shared" si="67"/>
        <v>779688.27143810189</v>
      </c>
      <c r="AH166" s="47">
        <f>IF(Y166="No",0,IFERROR(ROUNDDOWN(INDEX('90% of ACR'!K:K,MATCH(H:H,'90% of ACR'!A:A,0))*IF(I166&gt;0,IF(O166&gt;0,$R$4*MAX(O166-V166,0),0),0)/I166,2),0))</f>
        <v>0</v>
      </c>
      <c r="AI166" s="86">
        <f>IF(Y166="No",0,IFERROR(ROUNDDOWN(INDEX('90% of ACR'!R:R,MATCH(H:H,'90% of ACR'!A:A,0))*IF(J166&gt;0,IF(P166&gt;0,$R$4*MAX(P166-W166,0),0),0)/J166,2),0))</f>
        <v>0.67</v>
      </c>
      <c r="AJ166" s="45">
        <f t="shared" si="68"/>
        <v>0</v>
      </c>
      <c r="AK166" s="45">
        <f t="shared" si="68"/>
        <v>586956.33917250368</v>
      </c>
      <c r="AL166" s="47">
        <f t="shared" si="69"/>
        <v>2.59</v>
      </c>
      <c r="AM166" s="47">
        <f t="shared" si="69"/>
        <v>1.52</v>
      </c>
      <c r="AN166" s="87">
        <f>IFERROR(INDEX(FeeCalc!P:P,MATCH(C166,FeeCalc!F:F,0)),0)</f>
        <v>8361500.9818048663</v>
      </c>
      <c r="AO166" s="87">
        <f>IFERROR(INDEX(FeeCalc!S:S,MATCH(C166,FeeCalc!F:F,0)),0)</f>
        <v>525978.48088410881</v>
      </c>
      <c r="AP166" s="87">
        <f t="shared" si="70"/>
        <v>8887479.462688975</v>
      </c>
      <c r="AQ166" s="72">
        <f t="shared" si="71"/>
        <v>3771241.9353617388</v>
      </c>
      <c r="AR166" s="72">
        <f t="shared" si="72"/>
        <v>1885620.9676808694</v>
      </c>
      <c r="AS166" s="72">
        <f t="shared" si="73"/>
        <v>1885620.9676808694</v>
      </c>
      <c r="AT166" s="72">
        <f>IFERROR(IFERROR(INDEX('2023 IP UPL Data'!L:L,MATCH(A:A,'2023 IP UPL Data'!B:B,0)),INDEX('2023 IMD UPL Data'!I:I,MATCH(A:A,'2023 IMD UPL Data'!B:B,0))),0)</f>
        <v>2197579.1250000009</v>
      </c>
      <c r="AU166" s="72">
        <f>IFERROR(IF(F164="IMD",0,INDEX('2023 OP UPL Data'!J:J,MATCH(A:A,'2023 OP UPL Data'!B:B,0))),0)</f>
        <v>340359.11029411771</v>
      </c>
      <c r="AV166" s="45">
        <f t="shared" si="74"/>
        <v>2537938.2352941185</v>
      </c>
      <c r="AW166" s="72">
        <f>IFERROR(IFERROR(INDEX('2023 IP UPL Data'!M:M,MATCH(A:A,'2023 IP UPL Data'!B:B,0)),INDEX('2023 IMD UPL Data'!K:K,MATCH(A:A,'2023 IMD UPL Data'!B:B,0))),0)</f>
        <v>5132557.74</v>
      </c>
      <c r="AX166" s="72">
        <f>IFERROR(IF(F164="IMD",0,INDEX('2023 OP UPL Data'!L:L,MATCH(A:A,'2023 OP UPL Data'!B:B,0))),0)</f>
        <v>2085490.34</v>
      </c>
      <c r="AY166" s="45">
        <f t="shared" si="75"/>
        <v>7218048.0800000001</v>
      </c>
      <c r="AZ166" s="72">
        <v>8089664.4452084629</v>
      </c>
      <c r="BA166" s="72">
        <v>2198288.5991708175</v>
      </c>
      <c r="BB166" s="72">
        <f t="shared" si="76"/>
        <v>1059765.904511366</v>
      </c>
      <c r="BC166" s="72">
        <f t="shared" si="76"/>
        <v>1453642.4972355517</v>
      </c>
      <c r="BD166" s="72">
        <f t="shared" si="77"/>
        <v>2513408.4017469184</v>
      </c>
      <c r="BE166" s="94">
        <f t="shared" si="78"/>
        <v>2957106.7052084627</v>
      </c>
      <c r="BF166" s="94">
        <f t="shared" si="78"/>
        <v>112798.25917081744</v>
      </c>
      <c r="BG166" s="73">
        <f>IFERROR(INDEX('2023 IP UPL Data'!K:K,MATCH(A166,'2023 IP UPL Data'!B:B,0)),0)</f>
        <v>0</v>
      </c>
    </row>
    <row r="167" spans="1:59">
      <c r="A167" s="124" t="s">
        <v>759</v>
      </c>
      <c r="B167" s="149" t="s">
        <v>759</v>
      </c>
      <c r="C167" s="31" t="s">
        <v>760</v>
      </c>
      <c r="D167" s="181" t="s">
        <v>760</v>
      </c>
      <c r="E167" s="144" t="s">
        <v>3116</v>
      </c>
      <c r="F167" s="120" t="s">
        <v>2718</v>
      </c>
      <c r="G167" s="120" t="s">
        <v>300</v>
      </c>
      <c r="H167" s="43" t="str">
        <f t="shared" si="58"/>
        <v>Urban Harris</v>
      </c>
      <c r="I167" s="45">
        <f>INDEX(FeeCalc!M:M,MATCH(C:C,FeeCalc!F:F,0))</f>
        <v>11486912.729228742</v>
      </c>
      <c r="J167" s="45">
        <f>INDEX(FeeCalc!L:L,MATCH(C:C,FeeCalc!F:F,0))</f>
        <v>3122617.6242634263</v>
      </c>
      <c r="K167" s="45">
        <f t="shared" si="59"/>
        <v>14609530.353492169</v>
      </c>
      <c r="L167" s="45">
        <f>IFERROR(IFERROR(INDEX('2023 IP UPL Data'!N:N,MATCH(A:A,'2023 IP UPL Data'!B:B,0)),INDEX('2023 IMD UPL Data'!M:M,MATCH(A:A,'2023 IMD UPL Data'!B:B,0))),0)</f>
        <v>20230157.521323524</v>
      </c>
      <c r="M167" s="45">
        <f>IFERROR((IF(F167="IMD",0,INDEX('2023 OP UPL Data'!M:M,MATCH(A:A,'2023 OP UPL Data'!B:B,0)))),0)</f>
        <v>5276300.0805882355</v>
      </c>
      <c r="N167" s="45">
        <f t="shared" si="60"/>
        <v>25506457.601911761</v>
      </c>
      <c r="O167" s="45">
        <v>32872775.941963203</v>
      </c>
      <c r="P167" s="45">
        <v>7160091.9001010917</v>
      </c>
      <c r="Q167" s="45">
        <f t="shared" si="61"/>
        <v>40032867.842064291</v>
      </c>
      <c r="R167" s="45" t="str">
        <f t="shared" si="62"/>
        <v>Yes</v>
      </c>
      <c r="S167" s="46" t="str">
        <f t="shared" si="62"/>
        <v>Yes</v>
      </c>
      <c r="T167" s="47">
        <f>ROUND(INDEX(Summary!H:H,MATCH(H:H,Summary!A:A,0)),2)</f>
        <v>2.59</v>
      </c>
      <c r="U167" s="47">
        <f>ROUND(INDEX(Summary!I:I,MATCH(H:H,Summary!A:A,0)),2)</f>
        <v>0.85</v>
      </c>
      <c r="V167" s="85">
        <f t="shared" si="63"/>
        <v>29751103.968702443</v>
      </c>
      <c r="W167" s="85">
        <f t="shared" si="63"/>
        <v>2654224.9806239121</v>
      </c>
      <c r="X167" s="45">
        <f t="shared" si="64"/>
        <v>32405328.949326355</v>
      </c>
      <c r="Y167" s="45" t="s">
        <v>3223</v>
      </c>
      <c r="Z167" s="45" t="str">
        <f t="shared" si="65"/>
        <v>No</v>
      </c>
      <c r="AA167" s="45" t="str">
        <f t="shared" si="65"/>
        <v>Yes</v>
      </c>
      <c r="AB167" s="45" t="str">
        <f t="shared" si="66"/>
        <v>Yes</v>
      </c>
      <c r="AC167" s="86">
        <f t="shared" si="79"/>
        <v>0.19</v>
      </c>
      <c r="AD167" s="86">
        <f t="shared" si="80"/>
        <v>1.01</v>
      </c>
      <c r="AE167" s="45">
        <f t="shared" si="81"/>
        <v>2182513.4185534609</v>
      </c>
      <c r="AF167" s="45">
        <f t="shared" si="81"/>
        <v>3153843.8005060605</v>
      </c>
      <c r="AG167" s="45">
        <f t="shared" si="67"/>
        <v>5336357.2190595213</v>
      </c>
      <c r="AH167" s="47">
        <f>IF(Y167="No",0,IFERROR(ROUNDDOWN(INDEX('90% of ACR'!K:K,MATCH(H:H,'90% of ACR'!A:A,0))*IF(I167&gt;0,IF(O167&gt;0,$R$4*MAX(O167-V167,0),0),0)/I167,2),0))</f>
        <v>0</v>
      </c>
      <c r="AI167" s="86">
        <f>IF(Y167="No",0,IFERROR(ROUNDDOWN(INDEX('90% of ACR'!R:R,MATCH(H:H,'90% of ACR'!A:A,0))*IF(J167&gt;0,IF(P167&gt;0,$R$4*MAX(P167-W167,0),0),0)/J167,2),0))</f>
        <v>0.76</v>
      </c>
      <c r="AJ167" s="45">
        <f t="shared" si="68"/>
        <v>0</v>
      </c>
      <c r="AK167" s="45">
        <f t="shared" si="68"/>
        <v>2373189.3944402039</v>
      </c>
      <c r="AL167" s="47">
        <f t="shared" si="69"/>
        <v>2.59</v>
      </c>
      <c r="AM167" s="47">
        <f t="shared" si="69"/>
        <v>1.6099999999999999</v>
      </c>
      <c r="AN167" s="87">
        <f>IFERROR(INDEX(FeeCalc!P:P,MATCH(C167,FeeCalc!F:F,0)),0)</f>
        <v>34778518.343766555</v>
      </c>
      <c r="AO167" s="87">
        <f>IFERROR(INDEX(FeeCalc!S:S,MATCH(C167,FeeCalc!F:F,0)),0)</f>
        <v>2157055.1964224754</v>
      </c>
      <c r="AP167" s="87">
        <f t="shared" si="70"/>
        <v>36935573.540189028</v>
      </c>
      <c r="AQ167" s="72">
        <f t="shared" si="71"/>
        <v>15672945.791455492</v>
      </c>
      <c r="AR167" s="72">
        <f t="shared" si="72"/>
        <v>7836472.8957277462</v>
      </c>
      <c r="AS167" s="72">
        <f t="shared" si="73"/>
        <v>7836472.8957277462</v>
      </c>
      <c r="AT167" s="72">
        <f>IFERROR(IFERROR(INDEX('2023 IP UPL Data'!L:L,MATCH(A:A,'2023 IP UPL Data'!B:B,0)),INDEX('2023 IMD UPL Data'!I:I,MATCH(A:A,'2023 IMD UPL Data'!B:B,0))),0)</f>
        <v>13018274.378676474</v>
      </c>
      <c r="AU167" s="72">
        <f>IFERROR(IF(F165="IMD",0,INDEX('2023 OP UPL Data'!J:J,MATCH(A:A,'2023 OP UPL Data'!B:B,0))),0)</f>
        <v>2079498.0294117648</v>
      </c>
      <c r="AV167" s="45">
        <f t="shared" si="74"/>
        <v>15097772.408088239</v>
      </c>
      <c r="AW167" s="72">
        <f>IFERROR(IFERROR(INDEX('2023 IP UPL Data'!M:M,MATCH(A:A,'2023 IP UPL Data'!B:B,0)),INDEX('2023 IMD UPL Data'!K:K,MATCH(A:A,'2023 IMD UPL Data'!B:B,0))),0)</f>
        <v>33248431.899999999</v>
      </c>
      <c r="AX167" s="72">
        <f>IFERROR(IF(F165="IMD",0,INDEX('2023 OP UPL Data'!L:L,MATCH(A:A,'2023 OP UPL Data'!B:B,0))),0)</f>
        <v>7355798.1100000003</v>
      </c>
      <c r="AY167" s="45">
        <f t="shared" si="75"/>
        <v>40604230.009999998</v>
      </c>
      <c r="AZ167" s="72">
        <v>45891050.320639677</v>
      </c>
      <c r="BA167" s="72">
        <v>9239589.9295128565</v>
      </c>
      <c r="BB167" s="72">
        <f t="shared" si="76"/>
        <v>16139946.351937234</v>
      </c>
      <c r="BC167" s="72">
        <f t="shared" si="76"/>
        <v>6585364.9488889445</v>
      </c>
      <c r="BD167" s="72">
        <f t="shared" si="77"/>
        <v>22725311.300826181</v>
      </c>
      <c r="BE167" s="94">
        <f t="shared" si="78"/>
        <v>12642618.420639679</v>
      </c>
      <c r="BF167" s="94">
        <f t="shared" si="78"/>
        <v>1883791.8195128562</v>
      </c>
      <c r="BG167" s="73">
        <f>IFERROR(INDEX('2023 IP UPL Data'!K:K,MATCH(A167,'2023 IP UPL Data'!B:B,0)),0)</f>
        <v>0</v>
      </c>
    </row>
    <row r="168" spans="1:59">
      <c r="A168" s="124" t="s">
        <v>641</v>
      </c>
      <c r="B168" s="149" t="s">
        <v>641</v>
      </c>
      <c r="C168" s="31" t="s">
        <v>642</v>
      </c>
      <c r="D168" s="181" t="s">
        <v>642</v>
      </c>
      <c r="E168" s="144" t="s">
        <v>3143</v>
      </c>
      <c r="F168" s="120" t="s">
        <v>2718</v>
      </c>
      <c r="G168" s="120" t="s">
        <v>1517</v>
      </c>
      <c r="H168" s="43" t="str">
        <f t="shared" si="58"/>
        <v>Urban Hidalgo</v>
      </c>
      <c r="I168" s="45">
        <f>INDEX(FeeCalc!M:M,MATCH(C:C,FeeCalc!F:F,0))</f>
        <v>10146290.967013065</v>
      </c>
      <c r="J168" s="45">
        <f>INDEX(FeeCalc!L:L,MATCH(C:C,FeeCalc!F:F,0))</f>
        <v>5359015.0873705698</v>
      </c>
      <c r="K168" s="45">
        <f t="shared" si="59"/>
        <v>15505306.054383636</v>
      </c>
      <c r="L168" s="45">
        <f>IFERROR(IFERROR(INDEX('2023 IP UPL Data'!N:N,MATCH(A:A,'2023 IP UPL Data'!B:B,0)),INDEX('2023 IMD UPL Data'!M:M,MATCH(A:A,'2023 IMD UPL Data'!B:B,0))),0)</f>
        <v>10193420.458224852</v>
      </c>
      <c r="M168" s="45">
        <f>IFERROR((IF(F168="IMD",0,INDEX('2023 OP UPL Data'!M:M,MATCH(A:A,'2023 OP UPL Data'!B:B,0)))),0)</f>
        <v>4890792.0729585793</v>
      </c>
      <c r="N168" s="45">
        <f t="shared" si="60"/>
        <v>15084212.531183431</v>
      </c>
      <c r="O168" s="45">
        <v>21787764.025714956</v>
      </c>
      <c r="P168" s="45">
        <v>6405892.7305877656</v>
      </c>
      <c r="Q168" s="45">
        <f t="shared" si="61"/>
        <v>28193656.756302722</v>
      </c>
      <c r="R168" s="45" t="str">
        <f t="shared" si="62"/>
        <v>Yes</v>
      </c>
      <c r="S168" s="46" t="str">
        <f t="shared" si="62"/>
        <v>Yes</v>
      </c>
      <c r="T168" s="47">
        <f>ROUND(INDEX(Summary!H:H,MATCH(H:H,Summary!A:A,0)),2)</f>
        <v>1.21</v>
      </c>
      <c r="U168" s="47">
        <f>ROUND(INDEX(Summary!I:I,MATCH(H:H,Summary!A:A,0)),2)</f>
        <v>0.94</v>
      </c>
      <c r="V168" s="85">
        <f t="shared" si="63"/>
        <v>12277012.070085809</v>
      </c>
      <c r="W168" s="85">
        <f t="shared" si="63"/>
        <v>5037474.1821283353</v>
      </c>
      <c r="X168" s="45">
        <f t="shared" si="64"/>
        <v>17314486.252214145</v>
      </c>
      <c r="Y168" s="45" t="s">
        <v>3223</v>
      </c>
      <c r="Z168" s="45" t="str">
        <f t="shared" si="65"/>
        <v>Yes</v>
      </c>
      <c r="AA168" s="45" t="str">
        <f t="shared" si="65"/>
        <v>Yes</v>
      </c>
      <c r="AB168" s="45" t="str">
        <f t="shared" si="66"/>
        <v>Yes</v>
      </c>
      <c r="AC168" s="86">
        <f t="shared" si="79"/>
        <v>0.65</v>
      </c>
      <c r="AD168" s="86">
        <f t="shared" si="80"/>
        <v>0.18</v>
      </c>
      <c r="AE168" s="45">
        <f t="shared" si="81"/>
        <v>6595089.1285584923</v>
      </c>
      <c r="AF168" s="45">
        <f t="shared" si="81"/>
        <v>964622.71572670247</v>
      </c>
      <c r="AG168" s="45">
        <f t="shared" si="67"/>
        <v>7559711.8442851948</v>
      </c>
      <c r="AH168" s="47">
        <f>IF(Y168="No",0,IFERROR(ROUNDDOWN(INDEX('90% of ACR'!K:K,MATCH(H:H,'90% of ACR'!A:A,0))*IF(I168&gt;0,IF(O168&gt;0,$R$4*MAX(O168-V168,0),0),0)/I168,2),0))</f>
        <v>0.63</v>
      </c>
      <c r="AI168" s="86">
        <f>IF(Y168="No",0,IFERROR(ROUNDDOWN(INDEX('90% of ACR'!R:R,MATCH(H:H,'90% of ACR'!A:A,0))*IF(J168&gt;0,IF(P168&gt;0,$R$4*MAX(P168-W168,0),0),0)/J168,2),0))</f>
        <v>0.13</v>
      </c>
      <c r="AJ168" s="45">
        <f t="shared" si="68"/>
        <v>6392163.3092182307</v>
      </c>
      <c r="AK168" s="45">
        <f t="shared" si="68"/>
        <v>696671.9613581741</v>
      </c>
      <c r="AL168" s="47">
        <f t="shared" si="69"/>
        <v>1.8399999999999999</v>
      </c>
      <c r="AM168" s="47">
        <f t="shared" si="69"/>
        <v>1.0699999999999998</v>
      </c>
      <c r="AN168" s="87">
        <f>IFERROR(INDEX(FeeCalc!P:P,MATCH(C168,FeeCalc!F:F,0)),0)</f>
        <v>24403321.522790544</v>
      </c>
      <c r="AO168" s="87">
        <f>IFERROR(INDEX(FeeCalc!S:S,MATCH(C168,FeeCalc!F:F,0)),0)</f>
        <v>1504725.7630035758</v>
      </c>
      <c r="AP168" s="87">
        <f t="shared" si="70"/>
        <v>25908047.28579412</v>
      </c>
      <c r="AQ168" s="72">
        <f t="shared" si="71"/>
        <v>10993613.520875592</v>
      </c>
      <c r="AR168" s="72">
        <f t="shared" si="72"/>
        <v>5496806.7604377959</v>
      </c>
      <c r="AS168" s="72">
        <f t="shared" si="73"/>
        <v>5496806.7604377959</v>
      </c>
      <c r="AT168" s="72">
        <f>IFERROR(IFERROR(INDEX('2023 IP UPL Data'!L:L,MATCH(A:A,'2023 IP UPL Data'!B:B,0)),INDEX('2023 IMD UPL Data'!I:I,MATCH(A:A,'2023 IMD UPL Data'!B:B,0))),0)</f>
        <v>12366336.30177515</v>
      </c>
      <c r="AU168" s="72">
        <f>IFERROR(IF(F166="IMD",0,INDEX('2023 OP UPL Data'!J:J,MATCH(A:A,'2023 OP UPL Data'!B:B,0))),0)</f>
        <v>2496907.497041421</v>
      </c>
      <c r="AV168" s="45">
        <f t="shared" si="74"/>
        <v>14863243.798816571</v>
      </c>
      <c r="AW168" s="72">
        <f>IFERROR(IFERROR(INDEX('2023 IP UPL Data'!M:M,MATCH(A:A,'2023 IP UPL Data'!B:B,0)),INDEX('2023 IMD UPL Data'!K:K,MATCH(A:A,'2023 IMD UPL Data'!B:B,0))),0)</f>
        <v>22559756.760000002</v>
      </c>
      <c r="AX168" s="72">
        <f>IFERROR(IF(F166="IMD",0,INDEX('2023 OP UPL Data'!L:L,MATCH(A:A,'2023 OP UPL Data'!B:B,0))),0)</f>
        <v>7387699.5700000003</v>
      </c>
      <c r="AY168" s="45">
        <f t="shared" si="75"/>
        <v>29947456.330000002</v>
      </c>
      <c r="AZ168" s="72">
        <v>34154100.327490106</v>
      </c>
      <c r="BA168" s="72">
        <v>8902800.2276291866</v>
      </c>
      <c r="BB168" s="72">
        <f t="shared" si="76"/>
        <v>21877088.257404298</v>
      </c>
      <c r="BC168" s="72">
        <f t="shared" si="76"/>
        <v>3865326.0455008512</v>
      </c>
      <c r="BD168" s="72">
        <f t="shared" si="77"/>
        <v>25742414.302905146</v>
      </c>
      <c r="BE168" s="94">
        <f t="shared" si="78"/>
        <v>11594343.567490105</v>
      </c>
      <c r="BF168" s="94">
        <f t="shared" si="78"/>
        <v>1515100.6576291863</v>
      </c>
      <c r="BG168" s="73">
        <f>IFERROR(INDEX('2023 IP UPL Data'!K:K,MATCH(A168,'2023 IP UPL Data'!B:B,0)),0)</f>
        <v>0</v>
      </c>
    </row>
    <row r="169" spans="1:59">
      <c r="A169" s="124" t="s">
        <v>771</v>
      </c>
      <c r="B169" s="149" t="s">
        <v>771</v>
      </c>
      <c r="C169" s="31" t="s">
        <v>772</v>
      </c>
      <c r="D169" s="181" t="s">
        <v>772</v>
      </c>
      <c r="E169" s="144" t="s">
        <v>3126</v>
      </c>
      <c r="F169" s="120" t="s">
        <v>2718</v>
      </c>
      <c r="G169" s="120" t="s">
        <v>300</v>
      </c>
      <c r="H169" s="43" t="str">
        <f t="shared" si="58"/>
        <v>Urban Harris</v>
      </c>
      <c r="I169" s="45">
        <f>INDEX(FeeCalc!M:M,MATCH(C:C,FeeCalc!F:F,0))</f>
        <v>13036562.661566034</v>
      </c>
      <c r="J169" s="45">
        <f>INDEX(FeeCalc!L:L,MATCH(C:C,FeeCalc!F:F,0))</f>
        <v>9593975.3285018839</v>
      </c>
      <c r="K169" s="45">
        <f t="shared" si="59"/>
        <v>22630537.990067918</v>
      </c>
      <c r="L169" s="45">
        <f>IFERROR(IFERROR(INDEX('2023 IP UPL Data'!N:N,MATCH(A:A,'2023 IP UPL Data'!B:B,0)),INDEX('2023 IMD UPL Data'!M:M,MATCH(A:A,'2023 IMD UPL Data'!B:B,0))),0)</f>
        <v>18073990.194705877</v>
      </c>
      <c r="M169" s="45">
        <f>IFERROR((IF(F169="IMD",0,INDEX('2023 OP UPL Data'!M:M,MATCH(A:A,'2023 OP UPL Data'!B:B,0)))),0)</f>
        <v>5217864.6342647057</v>
      </c>
      <c r="N169" s="45">
        <f t="shared" si="60"/>
        <v>23291854.828970581</v>
      </c>
      <c r="O169" s="45">
        <v>36529965.712075099</v>
      </c>
      <c r="P169" s="45">
        <v>8764798.116954159</v>
      </c>
      <c r="Q169" s="45">
        <f t="shared" si="61"/>
        <v>45294763.829029262</v>
      </c>
      <c r="R169" s="45" t="str">
        <f t="shared" si="62"/>
        <v>Yes</v>
      </c>
      <c r="S169" s="46" t="str">
        <f t="shared" si="62"/>
        <v>Yes</v>
      </c>
      <c r="T169" s="47">
        <f>ROUND(INDEX(Summary!H:H,MATCH(H:H,Summary!A:A,0)),2)</f>
        <v>2.59</v>
      </c>
      <c r="U169" s="47">
        <f>ROUND(INDEX(Summary!I:I,MATCH(H:H,Summary!A:A,0)),2)</f>
        <v>0.85</v>
      </c>
      <c r="V169" s="85">
        <f t="shared" si="63"/>
        <v>33764697.293456025</v>
      </c>
      <c r="W169" s="85">
        <f t="shared" si="63"/>
        <v>8154879.0292266011</v>
      </c>
      <c r="X169" s="45">
        <f t="shared" si="64"/>
        <v>41919576.322682627</v>
      </c>
      <c r="Y169" s="45" t="s">
        <v>3223</v>
      </c>
      <c r="Z169" s="45" t="str">
        <f t="shared" si="65"/>
        <v>No</v>
      </c>
      <c r="AA169" s="45" t="str">
        <f t="shared" si="65"/>
        <v>Yes</v>
      </c>
      <c r="AB169" s="45" t="str">
        <f t="shared" si="66"/>
        <v>Yes</v>
      </c>
      <c r="AC169" s="86">
        <f t="shared" si="79"/>
        <v>0.15</v>
      </c>
      <c r="AD169" s="86">
        <f t="shared" si="80"/>
        <v>0.04</v>
      </c>
      <c r="AE169" s="45">
        <f t="shared" si="81"/>
        <v>1955484.3992349049</v>
      </c>
      <c r="AF169" s="45">
        <f t="shared" si="81"/>
        <v>383759.01314007537</v>
      </c>
      <c r="AG169" s="45">
        <f t="shared" si="67"/>
        <v>2339243.4123749803</v>
      </c>
      <c r="AH169" s="47">
        <f>IF(Y169="No",0,IFERROR(ROUNDDOWN(INDEX('90% of ACR'!K:K,MATCH(H:H,'90% of ACR'!A:A,0))*IF(I169&gt;0,IF(O169&gt;0,$R$4*MAX(O169-V169,0),0),0)/I169,2),0))</f>
        <v>0</v>
      </c>
      <c r="AI169" s="86">
        <f>IF(Y169="No",0,IFERROR(ROUNDDOWN(INDEX('90% of ACR'!R:R,MATCH(H:H,'90% of ACR'!A:A,0))*IF(J169&gt;0,IF(P169&gt;0,$R$4*MAX(P169-W169,0),0),0)/J169,2),0))</f>
        <v>0.03</v>
      </c>
      <c r="AJ169" s="45">
        <f t="shared" si="68"/>
        <v>0</v>
      </c>
      <c r="AK169" s="45">
        <f t="shared" si="68"/>
        <v>287819.25985505653</v>
      </c>
      <c r="AL169" s="47">
        <f t="shared" si="69"/>
        <v>2.59</v>
      </c>
      <c r="AM169" s="47">
        <f t="shared" si="69"/>
        <v>0.88</v>
      </c>
      <c r="AN169" s="87">
        <f>IFERROR(INDEX(FeeCalc!P:P,MATCH(C169,FeeCalc!F:F,0)),0)</f>
        <v>42207395.582537681</v>
      </c>
      <c r="AO169" s="87">
        <f>IFERROR(INDEX(FeeCalc!S:S,MATCH(C169,FeeCalc!F:F,0)),0)</f>
        <v>2626741.8903251067</v>
      </c>
      <c r="AP169" s="87">
        <f t="shared" si="70"/>
        <v>44834137.472862788</v>
      </c>
      <c r="AQ169" s="72">
        <f t="shared" si="71"/>
        <v>19024559.222134817</v>
      </c>
      <c r="AR169" s="72">
        <f t="shared" si="72"/>
        <v>9512279.6110674087</v>
      </c>
      <c r="AS169" s="72">
        <f t="shared" si="73"/>
        <v>9512279.6110674087</v>
      </c>
      <c r="AT169" s="72">
        <f>IFERROR(IFERROR(INDEX('2023 IP UPL Data'!L:L,MATCH(A:A,'2023 IP UPL Data'!B:B,0)),INDEX('2023 IMD UPL Data'!I:I,MATCH(A:A,'2023 IMD UPL Data'!B:B,0))),0)</f>
        <v>13874992.985294122</v>
      </c>
      <c r="AU169" s="72">
        <f>IFERROR(IF(F167="IMD",0,INDEX('2023 OP UPL Data'!J:J,MATCH(A:A,'2023 OP UPL Data'!B:B,0))),0)</f>
        <v>6201957.5257352944</v>
      </c>
      <c r="AV169" s="45">
        <f t="shared" si="74"/>
        <v>20076950.511029415</v>
      </c>
      <c r="AW169" s="72">
        <f>IFERROR(IFERROR(INDEX('2023 IP UPL Data'!M:M,MATCH(A:A,'2023 IP UPL Data'!B:B,0)),INDEX('2023 IMD UPL Data'!K:K,MATCH(A:A,'2023 IMD UPL Data'!B:B,0))),0)</f>
        <v>31948983.18</v>
      </c>
      <c r="AX169" s="72">
        <f>IFERROR(IF(F167="IMD",0,INDEX('2023 OP UPL Data'!L:L,MATCH(A:A,'2023 OP UPL Data'!B:B,0))),0)</f>
        <v>11419822.16</v>
      </c>
      <c r="AY169" s="45">
        <f t="shared" si="75"/>
        <v>43368805.340000004</v>
      </c>
      <c r="AZ169" s="72">
        <v>50404958.697369218</v>
      </c>
      <c r="BA169" s="72">
        <v>14966755.642689453</v>
      </c>
      <c r="BB169" s="72">
        <f t="shared" si="76"/>
        <v>16640261.403913192</v>
      </c>
      <c r="BC169" s="72">
        <f t="shared" si="76"/>
        <v>6811876.6134628523</v>
      </c>
      <c r="BD169" s="72">
        <f t="shared" si="77"/>
        <v>23452138.017376043</v>
      </c>
      <c r="BE169" s="94">
        <f t="shared" si="78"/>
        <v>18455975.517369218</v>
      </c>
      <c r="BF169" s="94">
        <f t="shared" si="78"/>
        <v>3546933.4826894533</v>
      </c>
      <c r="BG169" s="73">
        <f>IFERROR(INDEX('2023 IP UPL Data'!K:K,MATCH(A169,'2023 IP UPL Data'!B:B,0)),0)</f>
        <v>0</v>
      </c>
    </row>
    <row r="170" spans="1:59">
      <c r="A170" s="124" t="s">
        <v>1075</v>
      </c>
      <c r="B170" s="149" t="s">
        <v>1075</v>
      </c>
      <c r="C170" s="31" t="s">
        <v>1076</v>
      </c>
      <c r="D170" s="181" t="s">
        <v>1076</v>
      </c>
      <c r="E170" s="144" t="s">
        <v>3122</v>
      </c>
      <c r="F170" s="120" t="s">
        <v>2768</v>
      </c>
      <c r="G170" s="120" t="s">
        <v>1530</v>
      </c>
      <c r="H170" s="43" t="str">
        <f t="shared" si="58"/>
        <v>Rural Lubbock</v>
      </c>
      <c r="I170" s="45">
        <f>INDEX(FeeCalc!M:M,MATCH(C:C,FeeCalc!F:F,0))</f>
        <v>25061.728701711014</v>
      </c>
      <c r="J170" s="45">
        <f>INDEX(FeeCalc!L:L,MATCH(C:C,FeeCalc!F:F,0))</f>
        <v>513819.66220447229</v>
      </c>
      <c r="K170" s="45">
        <f t="shared" si="59"/>
        <v>538881.39090618328</v>
      </c>
      <c r="L170" s="45">
        <f>IFERROR(IFERROR(INDEX('2023 IP UPL Data'!N:N,MATCH(A:A,'2023 IP UPL Data'!B:B,0)),INDEX('2023 IMD UPL Data'!M:M,MATCH(A:A,'2023 IMD UPL Data'!B:B,0))),0)</f>
        <v>11461.024253577212</v>
      </c>
      <c r="M170" s="45">
        <f>IFERROR((IF(F170="IMD",0,INDEX('2023 OP UPL Data'!M:M,MATCH(A:A,'2023 OP UPL Data'!B:B,0)))),0)</f>
        <v>-63213.392178770941</v>
      </c>
      <c r="N170" s="45">
        <f t="shared" si="60"/>
        <v>-51752.367925193728</v>
      </c>
      <c r="O170" s="45">
        <v>12714.187011399037</v>
      </c>
      <c r="P170" s="45">
        <v>138663.76299044734</v>
      </c>
      <c r="Q170" s="45">
        <f t="shared" si="61"/>
        <v>151377.95000184639</v>
      </c>
      <c r="R170" s="45" t="str">
        <f t="shared" si="62"/>
        <v>Yes</v>
      </c>
      <c r="S170" s="46" t="str">
        <f t="shared" si="62"/>
        <v>Yes</v>
      </c>
      <c r="T170" s="47">
        <f>ROUND(INDEX(Summary!H:H,MATCH(H:H,Summary!A:A,0)),2)</f>
        <v>0.32</v>
      </c>
      <c r="U170" s="47">
        <f>ROUND(INDEX(Summary!I:I,MATCH(H:H,Summary!A:A,0)),2)</f>
        <v>0.36</v>
      </c>
      <c r="V170" s="85">
        <f t="shared" si="63"/>
        <v>8019.7531845475251</v>
      </c>
      <c r="W170" s="85">
        <f t="shared" si="63"/>
        <v>184975.07839361002</v>
      </c>
      <c r="X170" s="45">
        <f t="shared" si="64"/>
        <v>192994.83157815755</v>
      </c>
      <c r="Y170" s="45" t="s">
        <v>3223</v>
      </c>
      <c r="Z170" s="45" t="str">
        <f t="shared" si="65"/>
        <v>No</v>
      </c>
      <c r="AA170" s="45" t="str">
        <f t="shared" si="65"/>
        <v>No</v>
      </c>
      <c r="AB170" s="45" t="str">
        <f t="shared" si="66"/>
        <v>Yes</v>
      </c>
      <c r="AC170" s="86">
        <f t="shared" si="79"/>
        <v>0.13</v>
      </c>
      <c r="AD170" s="86">
        <f t="shared" si="80"/>
        <v>0</v>
      </c>
      <c r="AE170" s="45">
        <f t="shared" si="81"/>
        <v>3258.0247312224319</v>
      </c>
      <c r="AF170" s="45">
        <f t="shared" si="81"/>
        <v>0</v>
      </c>
      <c r="AG170" s="45">
        <f t="shared" si="67"/>
        <v>3258.0247312224319</v>
      </c>
      <c r="AH170" s="47">
        <f>IF(Y170="No",0,IFERROR(ROUNDDOWN(INDEX('90% of ACR'!K:K,MATCH(H:H,'90% of ACR'!A:A,0))*IF(I170&gt;0,IF(O170&gt;0,$R$4*MAX(O170-V170,0),0),0)/I170,2),0))</f>
        <v>0</v>
      </c>
      <c r="AI170" s="86">
        <f>IF(Y170="No",0,IFERROR(ROUNDDOWN(INDEX('90% of ACR'!R:R,MATCH(H:H,'90% of ACR'!A:A,0))*IF(J170&gt;0,IF(P170&gt;0,$R$4*MAX(P170-W170,0),0),0)/J170,2),0))</f>
        <v>0</v>
      </c>
      <c r="AJ170" s="45">
        <f t="shared" si="68"/>
        <v>0</v>
      </c>
      <c r="AK170" s="45">
        <f t="shared" si="68"/>
        <v>0</v>
      </c>
      <c r="AL170" s="47">
        <f t="shared" si="69"/>
        <v>0.32</v>
      </c>
      <c r="AM170" s="47">
        <f t="shared" si="69"/>
        <v>0.36</v>
      </c>
      <c r="AN170" s="87">
        <f>IFERROR(INDEX(FeeCalc!P:P,MATCH(C170,FeeCalc!F:F,0)),0)</f>
        <v>192994.83157815755</v>
      </c>
      <c r="AO170" s="87">
        <f>IFERROR(INDEX(FeeCalc!S:S,MATCH(C170,FeeCalc!F:F,0)),0)</f>
        <v>11841.26848845916</v>
      </c>
      <c r="AP170" s="87">
        <f t="shared" si="70"/>
        <v>204836.10006661672</v>
      </c>
      <c r="AQ170" s="72">
        <f t="shared" si="71"/>
        <v>86918.512013467625</v>
      </c>
      <c r="AR170" s="72">
        <f t="shared" si="72"/>
        <v>43459.256006733813</v>
      </c>
      <c r="AS170" s="72">
        <f t="shared" si="73"/>
        <v>43459.256006733813</v>
      </c>
      <c r="AT170" s="72">
        <f>IFERROR(IFERROR(INDEX('2023 IP UPL Data'!L:L,MATCH(A:A,'2023 IP UPL Data'!B:B,0)),INDEX('2023 IMD UPL Data'!I:I,MATCH(A:A,'2023 IMD UPL Data'!B:B,0))),0)</f>
        <v>5897.6157464227872</v>
      </c>
      <c r="AU170" s="72">
        <f>IFERROR(IF(F168="IMD",0,INDEX('2023 OP UPL Data'!J:J,MATCH(A:A,'2023 OP UPL Data'!B:B,0))),0)</f>
        <v>238281.67217877094</v>
      </c>
      <c r="AV170" s="45">
        <f t="shared" si="74"/>
        <v>244179.28792519373</v>
      </c>
      <c r="AW170" s="72">
        <f>IFERROR(IFERROR(INDEX('2023 IP UPL Data'!M:M,MATCH(A:A,'2023 IP UPL Data'!B:B,0)),INDEX('2023 IMD UPL Data'!K:K,MATCH(A:A,'2023 IMD UPL Data'!B:B,0))),0)</f>
        <v>17358.64</v>
      </c>
      <c r="AX170" s="72">
        <f>IFERROR(IF(F168="IMD",0,INDEX('2023 OP UPL Data'!L:L,MATCH(A:A,'2023 OP UPL Data'!B:B,0))),0)</f>
        <v>175068.28</v>
      </c>
      <c r="AY170" s="45">
        <f t="shared" si="75"/>
        <v>192426.91999999998</v>
      </c>
      <c r="AZ170" s="72">
        <v>18611.802757821824</v>
      </c>
      <c r="BA170" s="72">
        <v>376945.43516921828</v>
      </c>
      <c r="BB170" s="72">
        <f t="shared" si="76"/>
        <v>10592.0495732743</v>
      </c>
      <c r="BC170" s="72">
        <f t="shared" si="76"/>
        <v>191970.35677560826</v>
      </c>
      <c r="BD170" s="72">
        <f t="shared" si="77"/>
        <v>202562.40634888253</v>
      </c>
      <c r="BE170" s="94">
        <f t="shared" si="78"/>
        <v>1253.1627578218249</v>
      </c>
      <c r="BF170" s="94">
        <f t="shared" si="78"/>
        <v>201877.15516921828</v>
      </c>
      <c r="BG170" s="73">
        <f>IFERROR(INDEX('2023 IP UPL Data'!K:K,MATCH(A170,'2023 IP UPL Data'!B:B,0)),0)</f>
        <v>0</v>
      </c>
    </row>
    <row r="171" spans="1:59">
      <c r="A171" s="124" t="s">
        <v>566</v>
      </c>
      <c r="B171" s="149" t="s">
        <v>566</v>
      </c>
      <c r="C171" s="31" t="s">
        <v>567</v>
      </c>
      <c r="D171" s="181" t="s">
        <v>567</v>
      </c>
      <c r="E171" s="144" t="s">
        <v>3346</v>
      </c>
      <c r="F171" s="120" t="s">
        <v>2718</v>
      </c>
      <c r="G171" s="120" t="s">
        <v>300</v>
      </c>
      <c r="H171" s="43" t="str">
        <f t="shared" si="58"/>
        <v>Urban Harris</v>
      </c>
      <c r="I171" s="45">
        <f>INDEX(FeeCalc!M:M,MATCH(C:C,FeeCalc!F:F,0))</f>
        <v>2088938.9323465843</v>
      </c>
      <c r="J171" s="45">
        <f>INDEX(FeeCalc!L:L,MATCH(C:C,FeeCalc!F:F,0))</f>
        <v>1157842.0432594977</v>
      </c>
      <c r="K171" s="45">
        <f t="shared" si="59"/>
        <v>3246780.975606082</v>
      </c>
      <c r="L171" s="45">
        <f>IFERROR(IFERROR(INDEX('2023 IP UPL Data'!N:N,MATCH(A:A,'2023 IP UPL Data'!B:B,0)),INDEX('2023 IMD UPL Data'!M:M,MATCH(A:A,'2023 IMD UPL Data'!B:B,0))),0)</f>
        <v>2144898.5723529411</v>
      </c>
      <c r="M171" s="45">
        <f>IFERROR((IF(F171="IMD",0,INDEX('2023 OP UPL Data'!M:M,MATCH(A:A,'2023 OP UPL Data'!B:B,0)))),0)</f>
        <v>1524397.5170588235</v>
      </c>
      <c r="N171" s="45">
        <f t="shared" si="60"/>
        <v>3669296.0894117644</v>
      </c>
      <c r="O171" s="45">
        <v>4413860.5687132441</v>
      </c>
      <c r="P171" s="45">
        <v>2245452.6266082553</v>
      </c>
      <c r="Q171" s="45">
        <f t="shared" si="61"/>
        <v>6659313.1953214994</v>
      </c>
      <c r="R171" s="45" t="str">
        <f t="shared" si="62"/>
        <v>Yes</v>
      </c>
      <c r="S171" s="46" t="str">
        <f t="shared" si="62"/>
        <v>Yes</v>
      </c>
      <c r="T171" s="47">
        <f>ROUND(INDEX(Summary!H:H,MATCH(H:H,Summary!A:A,0)),2)</f>
        <v>2.59</v>
      </c>
      <c r="U171" s="47">
        <f>ROUND(INDEX(Summary!I:I,MATCH(H:H,Summary!A:A,0)),2)</f>
        <v>0.85</v>
      </c>
      <c r="V171" s="85">
        <f t="shared" si="63"/>
        <v>5410351.8347776532</v>
      </c>
      <c r="W171" s="85">
        <f t="shared" si="63"/>
        <v>984165.73677057307</v>
      </c>
      <c r="X171" s="45">
        <f t="shared" si="64"/>
        <v>6394517.5715482263</v>
      </c>
      <c r="Y171" s="45" t="s">
        <v>3223</v>
      </c>
      <c r="Z171" s="45" t="str">
        <f t="shared" si="65"/>
        <v>No</v>
      </c>
      <c r="AA171" s="45" t="str">
        <f t="shared" si="65"/>
        <v>Yes</v>
      </c>
      <c r="AB171" s="45" t="str">
        <f t="shared" si="66"/>
        <v>Yes</v>
      </c>
      <c r="AC171" s="86">
        <f t="shared" si="79"/>
        <v>0</v>
      </c>
      <c r="AD171" s="86">
        <f t="shared" si="80"/>
        <v>0.76</v>
      </c>
      <c r="AE171" s="45">
        <f t="shared" si="81"/>
        <v>0</v>
      </c>
      <c r="AF171" s="45">
        <f t="shared" si="81"/>
        <v>879959.95287721825</v>
      </c>
      <c r="AG171" s="45">
        <f t="shared" si="67"/>
        <v>879959.95287721825</v>
      </c>
      <c r="AH171" s="47">
        <f>IF(Y171="No",0,IFERROR(ROUNDDOWN(INDEX('90% of ACR'!K:K,MATCH(H:H,'90% of ACR'!A:A,0))*IF(I171&gt;0,IF(O171&gt;0,$R$4*MAX(O171-V171,0),0),0)/I171,2),0))</f>
        <v>0</v>
      </c>
      <c r="AI171" s="86">
        <f>IF(Y171="No",0,IFERROR(ROUNDDOWN(INDEX('90% of ACR'!R:R,MATCH(H:H,'90% of ACR'!A:A,0))*IF(J171&gt;0,IF(P171&gt;0,$R$4*MAX(P171-W171,0),0),0)/J171,2),0))</f>
        <v>0.56999999999999995</v>
      </c>
      <c r="AJ171" s="45">
        <f t="shared" si="68"/>
        <v>0</v>
      </c>
      <c r="AK171" s="45">
        <f t="shared" si="68"/>
        <v>659969.96465791366</v>
      </c>
      <c r="AL171" s="47">
        <f t="shared" si="69"/>
        <v>2.59</v>
      </c>
      <c r="AM171" s="47">
        <f t="shared" si="69"/>
        <v>1.42</v>
      </c>
      <c r="AN171" s="87">
        <f>IFERROR(INDEX(FeeCalc!P:P,MATCH(C171,FeeCalc!F:F,0)),0)</f>
        <v>7054487.5362061402</v>
      </c>
      <c r="AO171" s="87">
        <f>IFERROR(INDEX(FeeCalc!S:S,MATCH(C171,FeeCalc!F:F,0)),0)</f>
        <v>444969.78580543946</v>
      </c>
      <c r="AP171" s="87">
        <f t="shared" si="70"/>
        <v>7499457.3220115798</v>
      </c>
      <c r="AQ171" s="72">
        <f t="shared" si="71"/>
        <v>3182259.7243638178</v>
      </c>
      <c r="AR171" s="72">
        <f t="shared" si="72"/>
        <v>1591129.8621819089</v>
      </c>
      <c r="AS171" s="72">
        <f t="shared" si="73"/>
        <v>1591129.8621819089</v>
      </c>
      <c r="AT171" s="72">
        <f>IFERROR(IFERROR(INDEX('2023 IP UPL Data'!L:L,MATCH(A:A,'2023 IP UPL Data'!B:B,0)),INDEX('2023 IMD UPL Data'!I:I,MATCH(A:A,'2023 IMD UPL Data'!B:B,0))),0)</f>
        <v>1487491.8676470588</v>
      </c>
      <c r="AU171" s="72">
        <f>IFERROR(IF(F169="IMD",0,INDEX('2023 OP UPL Data'!J:J,MATCH(A:A,'2023 OP UPL Data'!B:B,0))),0)</f>
        <v>600216.35294117662</v>
      </c>
      <c r="AV171" s="45">
        <f t="shared" si="74"/>
        <v>2087708.2205882354</v>
      </c>
      <c r="AW171" s="72">
        <f>IFERROR(IFERROR(INDEX('2023 IP UPL Data'!M:M,MATCH(A:A,'2023 IP UPL Data'!B:B,0)),INDEX('2023 IMD UPL Data'!K:K,MATCH(A:A,'2023 IMD UPL Data'!B:B,0))),0)</f>
        <v>3632390.44</v>
      </c>
      <c r="AX171" s="72">
        <f>IFERROR(IF(F169="IMD",0,INDEX('2023 OP UPL Data'!L:L,MATCH(A:A,'2023 OP UPL Data'!B:B,0))),0)</f>
        <v>2124613.87</v>
      </c>
      <c r="AY171" s="45">
        <f t="shared" si="75"/>
        <v>5757004.3100000005</v>
      </c>
      <c r="AZ171" s="72">
        <v>5901352.4363603033</v>
      </c>
      <c r="BA171" s="72">
        <v>2845668.9795494317</v>
      </c>
      <c r="BB171" s="72">
        <f t="shared" si="76"/>
        <v>491000.6015826501</v>
      </c>
      <c r="BC171" s="72">
        <f t="shared" si="76"/>
        <v>1861503.2427788586</v>
      </c>
      <c r="BD171" s="72">
        <f t="shared" si="77"/>
        <v>2352503.8443615092</v>
      </c>
      <c r="BE171" s="94">
        <f t="shared" si="78"/>
        <v>2268961.9963603034</v>
      </c>
      <c r="BF171" s="94">
        <f t="shared" si="78"/>
        <v>721055.1095494316</v>
      </c>
      <c r="BG171" s="73">
        <f>IFERROR(INDEX('2023 IP UPL Data'!K:K,MATCH(A171,'2023 IP UPL Data'!B:B,0)),0)</f>
        <v>0</v>
      </c>
    </row>
    <row r="172" spans="1:59">
      <c r="A172" s="124" t="s">
        <v>950</v>
      </c>
      <c r="B172" s="149" t="s">
        <v>950</v>
      </c>
      <c r="C172" s="31" t="s">
        <v>951</v>
      </c>
      <c r="D172" s="181" t="s">
        <v>951</v>
      </c>
      <c r="E172" s="144" t="s">
        <v>3117</v>
      </c>
      <c r="F172" s="120" t="s">
        <v>2718</v>
      </c>
      <c r="G172" s="120" t="s">
        <v>300</v>
      </c>
      <c r="H172" s="43" t="str">
        <f t="shared" si="58"/>
        <v>Urban Harris</v>
      </c>
      <c r="I172" s="45">
        <f>INDEX(FeeCalc!M:M,MATCH(C:C,FeeCalc!F:F,0))</f>
        <v>241083.09676933303</v>
      </c>
      <c r="J172" s="45">
        <f>INDEX(FeeCalc!L:L,MATCH(C:C,FeeCalc!F:F,0))</f>
        <v>1374411.3359080006</v>
      </c>
      <c r="K172" s="45">
        <f t="shared" si="59"/>
        <v>1615494.4326773337</v>
      </c>
      <c r="L172" s="45">
        <f>IFERROR(IFERROR(INDEX('2023 IP UPL Data'!N:N,MATCH(A:A,'2023 IP UPL Data'!B:B,0)),INDEX('2023 IMD UPL Data'!M:M,MATCH(A:A,'2023 IMD UPL Data'!B:B,0))),0)</f>
        <v>308463.27088235295</v>
      </c>
      <c r="M172" s="45">
        <f>IFERROR((IF(F172="IMD",0,INDEX('2023 OP UPL Data'!M:M,MATCH(A:A,'2023 OP UPL Data'!B:B,0)))),0)</f>
        <v>482160.71029411769</v>
      </c>
      <c r="N172" s="45">
        <f t="shared" si="60"/>
        <v>790623.98117647064</v>
      </c>
      <c r="O172" s="45">
        <v>1204834.4508887394</v>
      </c>
      <c r="P172" s="45">
        <v>1145484.0189649416</v>
      </c>
      <c r="Q172" s="45">
        <f t="shared" si="61"/>
        <v>2350318.469853681</v>
      </c>
      <c r="R172" s="45" t="str">
        <f t="shared" si="62"/>
        <v>Yes</v>
      </c>
      <c r="S172" s="46" t="str">
        <f t="shared" si="62"/>
        <v>Yes</v>
      </c>
      <c r="T172" s="47">
        <f>ROUND(INDEX(Summary!H:H,MATCH(H:H,Summary!A:A,0)),2)</f>
        <v>2.59</v>
      </c>
      <c r="U172" s="47">
        <f>ROUND(INDEX(Summary!I:I,MATCH(H:H,Summary!A:A,0)),2)</f>
        <v>0.85</v>
      </c>
      <c r="V172" s="85">
        <f t="shared" si="63"/>
        <v>624405.22063257254</v>
      </c>
      <c r="W172" s="85">
        <f t="shared" si="63"/>
        <v>1168249.6355218005</v>
      </c>
      <c r="X172" s="45">
        <f t="shared" si="64"/>
        <v>1792654.8561543729</v>
      </c>
      <c r="Y172" s="45" t="s">
        <v>3223</v>
      </c>
      <c r="Z172" s="45" t="str">
        <f t="shared" si="65"/>
        <v>No</v>
      </c>
      <c r="AA172" s="45" t="str">
        <f t="shared" si="65"/>
        <v>No</v>
      </c>
      <c r="AB172" s="45" t="str">
        <f t="shared" si="66"/>
        <v>Yes</v>
      </c>
      <c r="AC172" s="86">
        <f t="shared" si="79"/>
        <v>1.68</v>
      </c>
      <c r="AD172" s="86">
        <f t="shared" si="80"/>
        <v>0</v>
      </c>
      <c r="AE172" s="45">
        <f t="shared" si="81"/>
        <v>405019.60257247946</v>
      </c>
      <c r="AF172" s="45">
        <f t="shared" si="81"/>
        <v>0</v>
      </c>
      <c r="AG172" s="45">
        <f t="shared" si="67"/>
        <v>405019.60257247946</v>
      </c>
      <c r="AH172" s="47">
        <f>IF(Y172="No",0,IFERROR(ROUNDDOWN(INDEX('90% of ACR'!K:K,MATCH(H:H,'90% of ACR'!A:A,0))*IF(I172&gt;0,IF(O172&gt;0,$R$4*MAX(O172-V172,0),0),0)/I172,2),0))</f>
        <v>0</v>
      </c>
      <c r="AI172" s="86">
        <f>IF(Y172="No",0,IFERROR(ROUNDDOWN(INDEX('90% of ACR'!R:R,MATCH(H:H,'90% of ACR'!A:A,0))*IF(J172&gt;0,IF(P172&gt;0,$R$4*MAX(P172-W172,0),0),0)/J172,2),0))</f>
        <v>0</v>
      </c>
      <c r="AJ172" s="45">
        <f t="shared" si="68"/>
        <v>0</v>
      </c>
      <c r="AK172" s="45">
        <f t="shared" si="68"/>
        <v>0</v>
      </c>
      <c r="AL172" s="47">
        <f t="shared" si="69"/>
        <v>2.59</v>
      </c>
      <c r="AM172" s="47">
        <f t="shared" si="69"/>
        <v>0.85</v>
      </c>
      <c r="AN172" s="87">
        <f>IFERROR(INDEX(FeeCalc!P:P,MATCH(C172,FeeCalc!F:F,0)),0)</f>
        <v>1792654.8561543729</v>
      </c>
      <c r="AO172" s="87">
        <f>IFERROR(INDEX(FeeCalc!S:S,MATCH(C172,FeeCalc!F:F,0)),0)</f>
        <v>110923.57015987468</v>
      </c>
      <c r="AP172" s="87">
        <f t="shared" si="70"/>
        <v>1903578.4263142475</v>
      </c>
      <c r="AQ172" s="72">
        <f t="shared" si="71"/>
        <v>807749.2407947774</v>
      </c>
      <c r="AR172" s="72">
        <f t="shared" si="72"/>
        <v>403874.6203973887</v>
      </c>
      <c r="AS172" s="72">
        <f t="shared" si="73"/>
        <v>403874.6203973887</v>
      </c>
      <c r="AT172" s="72">
        <f>IFERROR(IFERROR(INDEX('2023 IP UPL Data'!L:L,MATCH(A:A,'2023 IP UPL Data'!B:B,0)),INDEX('2023 IMD UPL Data'!I:I,MATCH(A:A,'2023 IMD UPL Data'!B:B,0))),0)</f>
        <v>244269.66911764699</v>
      </c>
      <c r="AU172" s="72">
        <f>IFERROR(IF(F170="IMD",0,INDEX('2023 OP UPL Data'!J:J,MATCH(A:A,'2023 OP UPL Data'!B:B,0))),0)</f>
        <v>792521.88970588241</v>
      </c>
      <c r="AV172" s="45">
        <f t="shared" si="74"/>
        <v>1036791.5588235294</v>
      </c>
      <c r="AW172" s="72">
        <f>IFERROR(IFERROR(INDEX('2023 IP UPL Data'!M:M,MATCH(A:A,'2023 IP UPL Data'!B:B,0)),INDEX('2023 IMD UPL Data'!K:K,MATCH(A:A,'2023 IMD UPL Data'!B:B,0))),0)</f>
        <v>552732.93999999994</v>
      </c>
      <c r="AX172" s="72">
        <f>IFERROR(IF(F170="IMD",0,INDEX('2023 OP UPL Data'!L:L,MATCH(A:A,'2023 OP UPL Data'!B:B,0))),0)</f>
        <v>1274682.6000000001</v>
      </c>
      <c r="AY172" s="45">
        <f t="shared" si="75"/>
        <v>1827415.54</v>
      </c>
      <c r="AZ172" s="72">
        <v>1449104.1200063864</v>
      </c>
      <c r="BA172" s="72">
        <v>1938005.908670824</v>
      </c>
      <c r="BB172" s="72">
        <f t="shared" si="76"/>
        <v>824698.89937381388</v>
      </c>
      <c r="BC172" s="72">
        <f t="shared" si="76"/>
        <v>769756.27314902353</v>
      </c>
      <c r="BD172" s="72">
        <f t="shared" si="77"/>
        <v>1594455.1725228373</v>
      </c>
      <c r="BE172" s="94">
        <f t="shared" si="78"/>
        <v>896371.18000638648</v>
      </c>
      <c r="BF172" s="94">
        <f t="shared" si="78"/>
        <v>663323.30867082393</v>
      </c>
      <c r="BG172" s="73">
        <f>IFERROR(INDEX('2023 IP UPL Data'!K:K,MATCH(A172,'2023 IP UPL Data'!B:B,0)),0)</f>
        <v>0</v>
      </c>
    </row>
    <row r="173" spans="1:59">
      <c r="A173" s="124" t="s">
        <v>572</v>
      </c>
      <c r="B173" s="149" t="s">
        <v>572</v>
      </c>
      <c r="C173" s="31" t="s">
        <v>573</v>
      </c>
      <c r="D173" s="181" t="s">
        <v>573</v>
      </c>
      <c r="E173" s="144" t="s">
        <v>3144</v>
      </c>
      <c r="F173" s="120" t="s">
        <v>2718</v>
      </c>
      <c r="G173" s="120" t="s">
        <v>300</v>
      </c>
      <c r="H173" s="43" t="str">
        <f t="shared" si="58"/>
        <v>Urban Harris</v>
      </c>
      <c r="I173" s="45">
        <f>INDEX(FeeCalc!M:M,MATCH(C:C,FeeCalc!F:F,0))</f>
        <v>21315012.434757888</v>
      </c>
      <c r="J173" s="45">
        <f>INDEX(FeeCalc!L:L,MATCH(C:C,FeeCalc!F:F,0))</f>
        <v>3282946.1099562417</v>
      </c>
      <c r="K173" s="45">
        <f t="shared" si="59"/>
        <v>24597958.54471413</v>
      </c>
      <c r="L173" s="45">
        <f>IFERROR(IFERROR(INDEX('2023 IP UPL Data'!N:N,MATCH(A:A,'2023 IP UPL Data'!B:B,0)),INDEX('2023 IMD UPL Data'!M:M,MATCH(A:A,'2023 IMD UPL Data'!B:B,0))),0)</f>
        <v>228503413.53867647</v>
      </c>
      <c r="M173" s="45">
        <f>IFERROR((IF(F173="IMD",0,INDEX('2023 OP UPL Data'!M:M,MATCH(A:A,'2023 OP UPL Data'!B:B,0)))),0)</f>
        <v>5774632.8005882353</v>
      </c>
      <c r="N173" s="45">
        <f t="shared" si="60"/>
        <v>234278046.33926469</v>
      </c>
      <c r="O173" s="45">
        <v>139341261.91890645</v>
      </c>
      <c r="P173" s="45">
        <v>4347062.3990452597</v>
      </c>
      <c r="Q173" s="45">
        <f t="shared" si="61"/>
        <v>143688324.31795171</v>
      </c>
      <c r="R173" s="45" t="str">
        <f t="shared" si="62"/>
        <v>Yes</v>
      </c>
      <c r="S173" s="46" t="str">
        <f t="shared" si="62"/>
        <v>Yes</v>
      </c>
      <c r="T173" s="47">
        <f>ROUND(INDEX(Summary!H:H,MATCH(H:H,Summary!A:A,0)),2)</f>
        <v>2.59</v>
      </c>
      <c r="U173" s="47">
        <f>ROUND(INDEX(Summary!I:I,MATCH(H:H,Summary!A:A,0)),2)</f>
        <v>0.85</v>
      </c>
      <c r="V173" s="85">
        <f t="shared" si="63"/>
        <v>55205882.206022926</v>
      </c>
      <c r="W173" s="85">
        <f t="shared" si="63"/>
        <v>2790504.1934628054</v>
      </c>
      <c r="X173" s="45">
        <f t="shared" si="64"/>
        <v>57996386.39948573</v>
      </c>
      <c r="Y173" s="45" t="s">
        <v>3223</v>
      </c>
      <c r="Z173" s="45" t="str">
        <f t="shared" si="65"/>
        <v>No</v>
      </c>
      <c r="AA173" s="45" t="str">
        <f t="shared" si="65"/>
        <v>Yes</v>
      </c>
      <c r="AB173" s="45" t="str">
        <f t="shared" si="66"/>
        <v>Yes</v>
      </c>
      <c r="AC173" s="86">
        <f t="shared" si="79"/>
        <v>2.75</v>
      </c>
      <c r="AD173" s="86">
        <f t="shared" si="80"/>
        <v>0.33</v>
      </c>
      <c r="AE173" s="45">
        <f t="shared" si="81"/>
        <v>58616284.195584193</v>
      </c>
      <c r="AF173" s="45">
        <f t="shared" si="81"/>
        <v>1083372.2162855598</v>
      </c>
      <c r="AG173" s="45">
        <f t="shared" si="67"/>
        <v>59699656.411869749</v>
      </c>
      <c r="AH173" s="47">
        <f>IF(Y173="No",0,IFERROR(ROUNDDOWN(INDEX('90% of ACR'!K:K,MATCH(H:H,'90% of ACR'!A:A,0))*IF(I173&gt;0,IF(O173&gt;0,$R$4*MAX(O173-V173,0),0),0)/I173,2),0))</f>
        <v>0</v>
      </c>
      <c r="AI173" s="86">
        <f>IF(Y173="No",0,IFERROR(ROUNDDOWN(INDEX('90% of ACR'!R:R,MATCH(H:H,'90% of ACR'!A:A,0))*IF(J173&gt;0,IF(P173&gt;0,$R$4*MAX(P173-W173,0),0),0)/J173,2),0))</f>
        <v>0.25</v>
      </c>
      <c r="AJ173" s="45">
        <f t="shared" si="68"/>
        <v>0</v>
      </c>
      <c r="AK173" s="45">
        <f t="shared" si="68"/>
        <v>820736.52748906042</v>
      </c>
      <c r="AL173" s="47">
        <f t="shared" si="69"/>
        <v>2.59</v>
      </c>
      <c r="AM173" s="47">
        <f t="shared" si="69"/>
        <v>1.1000000000000001</v>
      </c>
      <c r="AN173" s="87">
        <f>IFERROR(INDEX(FeeCalc!P:P,MATCH(C173,FeeCalc!F:F,0)),0)</f>
        <v>58817122.926974788</v>
      </c>
      <c r="AO173" s="87">
        <f>IFERROR(INDEX(FeeCalc!S:S,MATCH(C173,FeeCalc!F:F,0)),0)</f>
        <v>3589200.8048216472</v>
      </c>
      <c r="AP173" s="87">
        <f t="shared" si="70"/>
        <v>62406323.731796436</v>
      </c>
      <c r="AQ173" s="72">
        <f t="shared" si="71"/>
        <v>26481000.161760651</v>
      </c>
      <c r="AR173" s="72">
        <f t="shared" si="72"/>
        <v>13240500.080880325</v>
      </c>
      <c r="AS173" s="72">
        <f t="shared" si="73"/>
        <v>13240500.080880325</v>
      </c>
      <c r="AT173" s="72">
        <f>IFERROR(IFERROR(INDEX('2023 IP UPL Data'!L:L,MATCH(A:A,'2023 IP UPL Data'!B:B,0)),INDEX('2023 IMD UPL Data'!I:I,MATCH(A:A,'2023 IMD UPL Data'!B:B,0))),0)</f>
        <v>33023826.621323533</v>
      </c>
      <c r="AU173" s="72">
        <f>IFERROR(IF(F171="IMD",0,INDEX('2023 OP UPL Data'!J:J,MATCH(A:A,'2023 OP UPL Data'!B:B,0))),0)</f>
        <v>2779932.0294117648</v>
      </c>
      <c r="AV173" s="45">
        <f t="shared" si="74"/>
        <v>35803758.650735296</v>
      </c>
      <c r="AW173" s="72">
        <f>IFERROR(IFERROR(INDEX('2023 IP UPL Data'!M:M,MATCH(A:A,'2023 IP UPL Data'!B:B,0)),INDEX('2023 IMD UPL Data'!K:K,MATCH(A:A,'2023 IMD UPL Data'!B:B,0))),0)</f>
        <v>261527240.16</v>
      </c>
      <c r="AX173" s="72">
        <f>IFERROR(IF(F171="IMD",0,INDEX('2023 OP UPL Data'!L:L,MATCH(A:A,'2023 OP UPL Data'!B:B,0))),0)</f>
        <v>8554564.8300000001</v>
      </c>
      <c r="AY173" s="45">
        <f t="shared" si="75"/>
        <v>270081804.99000001</v>
      </c>
      <c r="AZ173" s="72">
        <v>172365088.54022998</v>
      </c>
      <c r="BA173" s="72">
        <v>7126994.4284570245</v>
      </c>
      <c r="BB173" s="72">
        <f t="shared" si="76"/>
        <v>117159206.33420706</v>
      </c>
      <c r="BC173" s="72">
        <f t="shared" si="76"/>
        <v>4336490.2349942196</v>
      </c>
      <c r="BD173" s="72">
        <f t="shared" si="77"/>
        <v>121495696.56920126</v>
      </c>
      <c r="BE173" s="94">
        <f t="shared" si="78"/>
        <v>0</v>
      </c>
      <c r="BF173" s="94">
        <f t="shared" si="78"/>
        <v>0</v>
      </c>
      <c r="BG173" s="73">
        <f>IFERROR(INDEX('2023 IP UPL Data'!K:K,MATCH(A173,'2023 IP UPL Data'!B:B,0)),0)</f>
        <v>0</v>
      </c>
    </row>
    <row r="174" spans="1:59">
      <c r="A174" s="124" t="s">
        <v>2762</v>
      </c>
      <c r="B174" s="149" t="s">
        <v>2762</v>
      </c>
      <c r="C174" s="31" t="s">
        <v>696</v>
      </c>
      <c r="D174" s="181" t="s">
        <v>696</v>
      </c>
      <c r="E174" s="144" t="s">
        <v>3511</v>
      </c>
      <c r="F174" s="120" t="s">
        <v>2768</v>
      </c>
      <c r="G174" s="120" t="s">
        <v>227</v>
      </c>
      <c r="H174" s="43" t="str">
        <f t="shared" si="58"/>
        <v>Rural MRSA West</v>
      </c>
      <c r="I174" s="45">
        <f>INDEX(FeeCalc!M:M,MATCH(C:C,FeeCalc!F:F,0))</f>
        <v>57955.752192889355</v>
      </c>
      <c r="J174" s="45">
        <f>INDEX(FeeCalc!L:L,MATCH(C:C,FeeCalc!F:F,0))</f>
        <v>250587.95482798398</v>
      </c>
      <c r="K174" s="45">
        <f t="shared" si="59"/>
        <v>308543.70702087332</v>
      </c>
      <c r="L174" s="45">
        <f>IFERROR(IFERROR(INDEX('2023 IP UPL Data'!N:N,MATCH(A:A,'2023 IP UPL Data'!B:B,0)),INDEX('2023 IMD UPL Data'!M:M,MATCH(A:A,'2023 IMD UPL Data'!B:B,0))),0)</f>
        <v>59423.704412999818</v>
      </c>
      <c r="M174" s="45">
        <f>IFERROR((IF(F174="IMD",0,INDEX('2023 OP UPL Data'!M:M,MATCH(A:A,'2023 OP UPL Data'!B:B,0)))),0)</f>
        <v>110712.37299999999</v>
      </c>
      <c r="N174" s="45">
        <f t="shared" si="60"/>
        <v>170136.07741299982</v>
      </c>
      <c r="O174" s="45">
        <v>3181.7221604436781</v>
      </c>
      <c r="P174" s="45">
        <v>83983.490861242404</v>
      </c>
      <c r="Q174" s="45">
        <f t="shared" si="61"/>
        <v>87165.213021686082</v>
      </c>
      <c r="R174" s="45" t="str">
        <f t="shared" si="62"/>
        <v>Yes</v>
      </c>
      <c r="S174" s="46" t="str">
        <f t="shared" si="62"/>
        <v>Yes</v>
      </c>
      <c r="T174" s="47">
        <f>ROUND(INDEX(Summary!H:H,MATCH(H:H,Summary!A:A,0)),2)</f>
        <v>0</v>
      </c>
      <c r="U174" s="47">
        <f>ROUND(INDEX(Summary!I:I,MATCH(H:H,Summary!A:A,0)),2)</f>
        <v>0.28999999999999998</v>
      </c>
      <c r="V174" s="85">
        <f t="shared" si="63"/>
        <v>0</v>
      </c>
      <c r="W174" s="85">
        <f t="shared" si="63"/>
        <v>72670.506900115346</v>
      </c>
      <c r="X174" s="45">
        <f t="shared" si="64"/>
        <v>72670.506900115346</v>
      </c>
      <c r="Y174" s="45" t="s">
        <v>3223</v>
      </c>
      <c r="Z174" s="45" t="str">
        <f t="shared" si="65"/>
        <v>No</v>
      </c>
      <c r="AA174" s="45" t="str">
        <f t="shared" si="65"/>
        <v>Yes</v>
      </c>
      <c r="AB174" s="45" t="str">
        <f t="shared" si="66"/>
        <v>Yes</v>
      </c>
      <c r="AC174" s="86">
        <f t="shared" si="79"/>
        <v>0.04</v>
      </c>
      <c r="AD174" s="86">
        <f t="shared" si="80"/>
        <v>0.03</v>
      </c>
      <c r="AE174" s="45">
        <f t="shared" si="81"/>
        <v>2318.2300877155744</v>
      </c>
      <c r="AF174" s="45">
        <f t="shared" si="81"/>
        <v>7517.6386448395187</v>
      </c>
      <c r="AG174" s="45">
        <f t="shared" si="67"/>
        <v>9835.8687325550927</v>
      </c>
      <c r="AH174" s="47">
        <f>IF(Y174="No",0,IFERROR(ROUNDDOWN(INDEX('90% of ACR'!K:K,MATCH(H:H,'90% of ACR'!A:A,0))*IF(I174&gt;0,IF(O174&gt;0,$R$4*MAX(O174-V174,0),0),0)/I174,2),0))</f>
        <v>0</v>
      </c>
      <c r="AI174" s="86">
        <f>IF(Y174="No",0,IFERROR(ROUNDDOWN(INDEX('90% of ACR'!R:R,MATCH(H:H,'90% of ACR'!A:A,0))*IF(J174&gt;0,IF(P174&gt;0,$R$4*MAX(P174-W174,0),0),0)/J174,2),0))</f>
        <v>0.03</v>
      </c>
      <c r="AJ174" s="45">
        <f t="shared" si="68"/>
        <v>0</v>
      </c>
      <c r="AK174" s="45">
        <f t="shared" si="68"/>
        <v>7517.6386448395187</v>
      </c>
      <c r="AL174" s="47">
        <f t="shared" si="69"/>
        <v>0</v>
      </c>
      <c r="AM174" s="47">
        <f t="shared" si="69"/>
        <v>0.31999999999999995</v>
      </c>
      <c r="AN174" s="87">
        <f>IFERROR(INDEX(FeeCalc!P:P,MATCH(C174,FeeCalc!F:F,0)),0)</f>
        <v>80188.145544954867</v>
      </c>
      <c r="AO174" s="87">
        <f>IFERROR(INDEX(FeeCalc!S:S,MATCH(C174,FeeCalc!F:F,0)),0)</f>
        <v>4918.6010393641327</v>
      </c>
      <c r="AP174" s="87">
        <f t="shared" si="70"/>
        <v>85106.746584319</v>
      </c>
      <c r="AQ174" s="72">
        <f t="shared" si="71"/>
        <v>36113.515991617256</v>
      </c>
      <c r="AR174" s="72">
        <f t="shared" si="72"/>
        <v>18056.757995808628</v>
      </c>
      <c r="AS174" s="72">
        <f t="shared" si="73"/>
        <v>18056.757995808628</v>
      </c>
      <c r="AT174" s="72">
        <f>IFERROR(IFERROR(INDEX('2023 IP UPL Data'!L:L,MATCH(A:A,'2023 IP UPL Data'!B:B,0)),INDEX('2023 IMD UPL Data'!I:I,MATCH(A:A,'2023 IMD UPL Data'!B:B,0))),0)</f>
        <v>57994.255587000189</v>
      </c>
      <c r="AU174" s="72">
        <f>IFERROR(IF(F172="IMD",0,INDEX('2023 OP UPL Data'!J:J,MATCH(A:A,'2023 OP UPL Data'!B:B,0))),0)</f>
        <v>150367.40700000001</v>
      </c>
      <c r="AV174" s="45">
        <f t="shared" si="74"/>
        <v>208361.6625870002</v>
      </c>
      <c r="AW174" s="72">
        <f>IFERROR(IFERROR(INDEX('2023 IP UPL Data'!M:M,MATCH(A:A,'2023 IP UPL Data'!B:B,0)),INDEX('2023 IMD UPL Data'!K:K,MATCH(A:A,'2023 IMD UPL Data'!B:B,0))),0)</f>
        <v>117417.96</v>
      </c>
      <c r="AX174" s="72">
        <f>IFERROR(IF(F172="IMD",0,INDEX('2023 OP UPL Data'!L:L,MATCH(A:A,'2023 OP UPL Data'!B:B,0))),0)</f>
        <v>261079.78</v>
      </c>
      <c r="AY174" s="45">
        <f t="shared" si="75"/>
        <v>378497.74</v>
      </c>
      <c r="AZ174" s="72">
        <v>61175.977747443867</v>
      </c>
      <c r="BA174" s="72">
        <v>234350.89786124241</v>
      </c>
      <c r="BB174" s="72">
        <f t="shared" si="76"/>
        <v>61175.977747443867</v>
      </c>
      <c r="BC174" s="72">
        <f t="shared" si="76"/>
        <v>161680.39096112706</v>
      </c>
      <c r="BD174" s="72">
        <f t="shared" si="77"/>
        <v>222856.36870857095</v>
      </c>
      <c r="BE174" s="94">
        <f t="shared" si="78"/>
        <v>0</v>
      </c>
      <c r="BF174" s="94">
        <f t="shared" si="78"/>
        <v>0</v>
      </c>
      <c r="BG174" s="73">
        <f>IFERROR(INDEX('2023 IP UPL Data'!K:K,MATCH(A174,'2023 IP UPL Data'!B:B,0)),0)</f>
        <v>0</v>
      </c>
    </row>
    <row r="175" spans="1:59">
      <c r="A175" s="124" t="s">
        <v>765</v>
      </c>
      <c r="B175" s="149" t="s">
        <v>765</v>
      </c>
      <c r="C175" s="31" t="s">
        <v>766</v>
      </c>
      <c r="D175" s="181" t="s">
        <v>766</v>
      </c>
      <c r="E175" s="144" t="s">
        <v>3512</v>
      </c>
      <c r="F175" s="120" t="s">
        <v>2768</v>
      </c>
      <c r="G175" s="120" t="s">
        <v>227</v>
      </c>
      <c r="H175" s="43" t="str">
        <f t="shared" si="58"/>
        <v>Rural MRSA West</v>
      </c>
      <c r="I175" s="45">
        <f>INDEX(FeeCalc!M:M,MATCH(C:C,FeeCalc!F:F,0))</f>
        <v>1217378.6175593771</v>
      </c>
      <c r="J175" s="45">
        <f>INDEX(FeeCalc!L:L,MATCH(C:C,FeeCalc!F:F,0))</f>
        <v>1368995.4805626464</v>
      </c>
      <c r="K175" s="45">
        <f t="shared" si="59"/>
        <v>2586374.0981220235</v>
      </c>
      <c r="L175" s="45">
        <f>IFERROR(IFERROR(INDEX('2023 IP UPL Data'!N:N,MATCH(A:A,'2023 IP UPL Data'!B:B,0)),INDEX('2023 IMD UPL Data'!M:M,MATCH(A:A,'2023 IMD UPL Data'!B:B,0))),0)</f>
        <v>-21984.833539362531</v>
      </c>
      <c r="M175" s="45">
        <f>IFERROR((IF(F175="IMD",0,INDEX('2023 OP UPL Data'!M:M,MATCH(A:A,'2023 OP UPL Data'!B:B,0)))),0)</f>
        <v>664406.00725000002</v>
      </c>
      <c r="N175" s="45">
        <f t="shared" si="60"/>
        <v>642421.17371063749</v>
      </c>
      <c r="O175" s="45">
        <v>-114117.0751329459</v>
      </c>
      <c r="P175" s="45">
        <v>463965.94736556918</v>
      </c>
      <c r="Q175" s="45">
        <f t="shared" si="61"/>
        <v>349848.87223262328</v>
      </c>
      <c r="R175" s="45" t="str">
        <f t="shared" si="62"/>
        <v>No</v>
      </c>
      <c r="S175" s="46" t="str">
        <f t="shared" si="62"/>
        <v>Yes</v>
      </c>
      <c r="T175" s="47">
        <f>ROUND(INDEX(Summary!H:H,MATCH(H:H,Summary!A:A,0)),2)</f>
        <v>0</v>
      </c>
      <c r="U175" s="47">
        <f>ROUND(INDEX(Summary!I:I,MATCH(H:H,Summary!A:A,0)),2)</f>
        <v>0.28999999999999998</v>
      </c>
      <c r="V175" s="85">
        <f t="shared" si="63"/>
        <v>0</v>
      </c>
      <c r="W175" s="85">
        <f t="shared" si="63"/>
        <v>397008.68936316745</v>
      </c>
      <c r="X175" s="45">
        <f t="shared" si="64"/>
        <v>397008.68936316745</v>
      </c>
      <c r="Y175" s="45" t="s">
        <v>3223</v>
      </c>
      <c r="Z175" s="45" t="str">
        <f t="shared" si="65"/>
        <v>No</v>
      </c>
      <c r="AA175" s="45" t="str">
        <f t="shared" si="65"/>
        <v>Yes</v>
      </c>
      <c r="AB175" s="45" t="str">
        <f t="shared" si="66"/>
        <v>Yes</v>
      </c>
      <c r="AC175" s="86">
        <f t="shared" si="79"/>
        <v>0</v>
      </c>
      <c r="AD175" s="86">
        <f t="shared" si="80"/>
        <v>0.03</v>
      </c>
      <c r="AE175" s="45">
        <f t="shared" si="81"/>
        <v>0</v>
      </c>
      <c r="AF175" s="45">
        <f t="shared" si="81"/>
        <v>41069.864416879391</v>
      </c>
      <c r="AG175" s="45">
        <f t="shared" si="67"/>
        <v>41069.864416879391</v>
      </c>
      <c r="AH175" s="47">
        <f>IF(Y175="No",0,IFERROR(ROUNDDOWN(INDEX('90% of ACR'!K:K,MATCH(H:H,'90% of ACR'!A:A,0))*IF(I175&gt;0,IF(O175&gt;0,$R$4*MAX(O175-V175,0),0),0)/I175,2),0))</f>
        <v>0</v>
      </c>
      <c r="AI175" s="86">
        <f>IF(Y175="No",0,IFERROR(ROUNDDOWN(INDEX('90% of ACR'!R:R,MATCH(H:H,'90% of ACR'!A:A,0))*IF(J175&gt;0,IF(P175&gt;0,$R$4*MAX(P175-W175,0),0),0)/J175,2),0))</f>
        <v>0.03</v>
      </c>
      <c r="AJ175" s="45">
        <f t="shared" si="68"/>
        <v>0</v>
      </c>
      <c r="AK175" s="45">
        <f t="shared" si="68"/>
        <v>41069.864416879391</v>
      </c>
      <c r="AL175" s="47">
        <f t="shared" si="69"/>
        <v>0</v>
      </c>
      <c r="AM175" s="47">
        <f t="shared" si="69"/>
        <v>0.31999999999999995</v>
      </c>
      <c r="AN175" s="87">
        <f>IFERROR(INDEX(FeeCalc!P:P,MATCH(C175,FeeCalc!F:F,0)),0)</f>
        <v>438078.55378004676</v>
      </c>
      <c r="AO175" s="87">
        <f>IFERROR(INDEX(FeeCalc!S:S,MATCH(C175,FeeCalc!F:F,0)),0)</f>
        <v>26891.760706415331</v>
      </c>
      <c r="AP175" s="87">
        <f t="shared" si="70"/>
        <v>464970.3144864621</v>
      </c>
      <c r="AQ175" s="72">
        <f t="shared" si="71"/>
        <v>197301.78348666948</v>
      </c>
      <c r="AR175" s="72">
        <f t="shared" si="72"/>
        <v>98650.891743334738</v>
      </c>
      <c r="AS175" s="72">
        <f t="shared" si="73"/>
        <v>98650.891743334738</v>
      </c>
      <c r="AT175" s="72">
        <f>IFERROR(IFERROR(INDEX('2023 IP UPL Data'!L:L,MATCH(A:A,'2023 IP UPL Data'!B:B,0)),INDEX('2023 IMD UPL Data'!I:I,MATCH(A:A,'2023 IMD UPL Data'!B:B,0))),0)</f>
        <v>731265.86353936256</v>
      </c>
      <c r="AU175" s="72">
        <f>IFERROR(IF(F173="IMD",0,INDEX('2023 OP UPL Data'!J:J,MATCH(A:A,'2023 OP UPL Data'!B:B,0))),0)</f>
        <v>652655.72274999996</v>
      </c>
      <c r="AV175" s="45">
        <f t="shared" si="74"/>
        <v>1383921.5862893625</v>
      </c>
      <c r="AW175" s="72">
        <f>IFERROR(IFERROR(INDEX('2023 IP UPL Data'!M:M,MATCH(A:A,'2023 IP UPL Data'!B:B,0)),INDEX('2023 IMD UPL Data'!K:K,MATCH(A:A,'2023 IMD UPL Data'!B:B,0))),0)</f>
        <v>709281.03</v>
      </c>
      <c r="AX175" s="72">
        <f>IFERROR(IF(F173="IMD",0,INDEX('2023 OP UPL Data'!L:L,MATCH(A:A,'2023 OP UPL Data'!B:B,0))),0)</f>
        <v>1317061.73</v>
      </c>
      <c r="AY175" s="45">
        <f t="shared" si="75"/>
        <v>2026342.76</v>
      </c>
      <c r="AZ175" s="72">
        <v>617148.78840641666</v>
      </c>
      <c r="BA175" s="72">
        <v>1116621.6701155691</v>
      </c>
      <c r="BB175" s="72">
        <f t="shared" si="76"/>
        <v>617148.78840641666</v>
      </c>
      <c r="BC175" s="72">
        <f t="shared" si="76"/>
        <v>719612.98075240175</v>
      </c>
      <c r="BD175" s="72">
        <f t="shared" si="77"/>
        <v>1336761.7691588185</v>
      </c>
      <c r="BE175" s="94">
        <f t="shared" si="78"/>
        <v>0</v>
      </c>
      <c r="BF175" s="94">
        <f t="shared" si="78"/>
        <v>0</v>
      </c>
      <c r="BG175" s="73">
        <f>IFERROR(INDEX('2023 IP UPL Data'!K:K,MATCH(A175,'2023 IP UPL Data'!B:B,0)),0)</f>
        <v>0</v>
      </c>
    </row>
    <row r="176" spans="1:59">
      <c r="A176" s="124" t="s">
        <v>557</v>
      </c>
      <c r="B176" s="149" t="s">
        <v>557</v>
      </c>
      <c r="C176" s="31" t="s">
        <v>558</v>
      </c>
      <c r="D176" s="181" t="s">
        <v>558</v>
      </c>
      <c r="E176" s="144" t="s">
        <v>3114</v>
      </c>
      <c r="F176" s="120" t="s">
        <v>2718</v>
      </c>
      <c r="G176" s="120" t="s">
        <v>300</v>
      </c>
      <c r="H176" s="43" t="str">
        <f t="shared" si="58"/>
        <v>Urban Harris</v>
      </c>
      <c r="I176" s="45">
        <f>INDEX(FeeCalc!M:M,MATCH(C:C,FeeCalc!F:F,0))</f>
        <v>9589082.5604357179</v>
      </c>
      <c r="J176" s="45">
        <f>INDEX(FeeCalc!L:L,MATCH(C:C,FeeCalc!F:F,0))</f>
        <v>11942964.958482912</v>
      </c>
      <c r="K176" s="45">
        <f t="shared" si="59"/>
        <v>21532047.51891863</v>
      </c>
      <c r="L176" s="45">
        <f>IFERROR(IFERROR(INDEX('2023 IP UPL Data'!N:N,MATCH(A:A,'2023 IP UPL Data'!B:B,0)),INDEX('2023 IMD UPL Data'!M:M,MATCH(A:A,'2023 IMD UPL Data'!B:B,0))),0)</f>
        <v>18321081.717352942</v>
      </c>
      <c r="M176" s="45">
        <f>IFERROR((IF(F176="IMD",0,INDEX('2023 OP UPL Data'!M:M,MATCH(A:A,'2023 OP UPL Data'!B:B,0)))),0)</f>
        <v>4792508.008823528</v>
      </c>
      <c r="N176" s="45">
        <f t="shared" si="60"/>
        <v>23113589.726176471</v>
      </c>
      <c r="O176" s="45">
        <v>24050112.74268616</v>
      </c>
      <c r="P176" s="45">
        <v>7613853.8105244068</v>
      </c>
      <c r="Q176" s="45">
        <f t="shared" si="61"/>
        <v>31663966.553210568</v>
      </c>
      <c r="R176" s="45" t="str">
        <f t="shared" si="62"/>
        <v>Yes</v>
      </c>
      <c r="S176" s="46" t="str">
        <f t="shared" si="62"/>
        <v>Yes</v>
      </c>
      <c r="T176" s="47">
        <f>ROUND(INDEX(Summary!H:H,MATCH(H:H,Summary!A:A,0)),2)</f>
        <v>2.59</v>
      </c>
      <c r="U176" s="47">
        <f>ROUND(INDEX(Summary!I:I,MATCH(H:H,Summary!A:A,0)),2)</f>
        <v>0.85</v>
      </c>
      <c r="V176" s="85">
        <f t="shared" si="63"/>
        <v>24835723.831528507</v>
      </c>
      <c r="W176" s="85">
        <f t="shared" si="63"/>
        <v>10151520.214710474</v>
      </c>
      <c r="X176" s="45">
        <f t="shared" si="64"/>
        <v>34987244.046238981</v>
      </c>
      <c r="Y176" s="45" t="s">
        <v>3223</v>
      </c>
      <c r="Z176" s="45" t="str">
        <f t="shared" si="65"/>
        <v>No</v>
      </c>
      <c r="AA176" s="45" t="str">
        <f t="shared" si="65"/>
        <v>No</v>
      </c>
      <c r="AB176" s="45" t="str">
        <f t="shared" si="66"/>
        <v>No</v>
      </c>
      <c r="AC176" s="86">
        <f t="shared" si="79"/>
        <v>0</v>
      </c>
      <c r="AD176" s="86">
        <f t="shared" si="80"/>
        <v>0</v>
      </c>
      <c r="AE176" s="45">
        <f t="shared" si="81"/>
        <v>0</v>
      </c>
      <c r="AF176" s="45">
        <f t="shared" si="81"/>
        <v>0</v>
      </c>
      <c r="AG176" s="45">
        <f t="shared" si="67"/>
        <v>0</v>
      </c>
      <c r="AH176" s="47">
        <f>IF(Y176="No",0,IFERROR(ROUNDDOWN(INDEX('90% of ACR'!K:K,MATCH(H:H,'90% of ACR'!A:A,0))*IF(I176&gt;0,IF(O176&gt;0,$R$4*MAX(O176-V176,0),0),0)/I176,2),0))</f>
        <v>0</v>
      </c>
      <c r="AI176" s="86">
        <f>IF(Y176="No",0,IFERROR(ROUNDDOWN(INDEX('90% of ACR'!R:R,MATCH(H:H,'90% of ACR'!A:A,0))*IF(J176&gt;0,IF(P176&gt;0,$R$4*MAX(P176-W176,0),0),0)/J176,2),0))</f>
        <v>0</v>
      </c>
      <c r="AJ176" s="45">
        <f t="shared" si="68"/>
        <v>0</v>
      </c>
      <c r="AK176" s="45">
        <f t="shared" si="68"/>
        <v>0</v>
      </c>
      <c r="AL176" s="47">
        <f t="shared" si="69"/>
        <v>2.59</v>
      </c>
      <c r="AM176" s="47">
        <f t="shared" si="69"/>
        <v>0.85</v>
      </c>
      <c r="AN176" s="87">
        <f>IFERROR(INDEX(FeeCalc!P:P,MATCH(C176,FeeCalc!F:F,0)),0)</f>
        <v>34987244.046238981</v>
      </c>
      <c r="AO176" s="87">
        <f>IFERROR(INDEX(FeeCalc!S:S,MATCH(C176,FeeCalc!F:F,0)),0)</f>
        <v>2162979.277257483</v>
      </c>
      <c r="AP176" s="87">
        <f t="shared" si="70"/>
        <v>37150223.323496461</v>
      </c>
      <c r="AQ176" s="72">
        <f t="shared" si="71"/>
        <v>15764028.563305903</v>
      </c>
      <c r="AR176" s="72">
        <f t="shared" si="72"/>
        <v>7882014.2816529516</v>
      </c>
      <c r="AS176" s="72">
        <f t="shared" si="73"/>
        <v>7882014.2816529516</v>
      </c>
      <c r="AT176" s="72">
        <f>IFERROR(IFERROR(INDEX('2023 IP UPL Data'!L:L,MATCH(A:A,'2023 IP UPL Data'!B:B,0)),INDEX('2023 IMD UPL Data'!I:I,MATCH(A:A,'2023 IMD UPL Data'!B:B,0))),0)</f>
        <v>11485421.742647059</v>
      </c>
      <c r="AU176" s="72">
        <f>IFERROR(IF(F174="IMD",0,INDEX('2023 OP UPL Data'!J:J,MATCH(A:A,'2023 OP UPL Data'!B:B,0))),0)</f>
        <v>8374781.4411764713</v>
      </c>
      <c r="AV176" s="45">
        <f t="shared" si="74"/>
        <v>19860203.18382353</v>
      </c>
      <c r="AW176" s="72">
        <f>IFERROR(IFERROR(INDEX('2023 IP UPL Data'!M:M,MATCH(A:A,'2023 IP UPL Data'!B:B,0)),INDEX('2023 IMD UPL Data'!K:K,MATCH(A:A,'2023 IMD UPL Data'!B:B,0))),0)</f>
        <v>29806503.460000001</v>
      </c>
      <c r="AX176" s="72">
        <f>IFERROR(IF(F174="IMD",0,INDEX('2023 OP UPL Data'!L:L,MATCH(A:A,'2023 OP UPL Data'!B:B,0))),0)</f>
        <v>13167289.449999999</v>
      </c>
      <c r="AY176" s="45">
        <f t="shared" si="75"/>
        <v>42973792.909999996</v>
      </c>
      <c r="AZ176" s="72">
        <v>35535534.485333219</v>
      </c>
      <c r="BA176" s="72">
        <v>15988635.251700878</v>
      </c>
      <c r="BB176" s="72">
        <f t="shared" si="76"/>
        <v>10699810.653804712</v>
      </c>
      <c r="BC176" s="72">
        <f t="shared" si="76"/>
        <v>5837115.0369904041</v>
      </c>
      <c r="BD176" s="72">
        <f t="shared" si="77"/>
        <v>16536925.690795116</v>
      </c>
      <c r="BE176" s="94">
        <f t="shared" si="78"/>
        <v>5729031.0253332183</v>
      </c>
      <c r="BF176" s="94">
        <f t="shared" si="78"/>
        <v>2821345.8017008789</v>
      </c>
      <c r="BG176" s="73">
        <f>IFERROR(INDEX('2023 IP UPL Data'!K:K,MATCH(A176,'2023 IP UPL Data'!B:B,0)),0)</f>
        <v>0</v>
      </c>
    </row>
    <row r="177" spans="1:59">
      <c r="A177" s="124" t="s">
        <v>569</v>
      </c>
      <c r="B177" s="149" t="s">
        <v>569</v>
      </c>
      <c r="C177" s="31" t="s">
        <v>570</v>
      </c>
      <c r="D177" s="181" t="s">
        <v>570</v>
      </c>
      <c r="E177" s="144" t="s">
        <v>3120</v>
      </c>
      <c r="F177" s="120" t="s">
        <v>2718</v>
      </c>
      <c r="G177" s="120" t="s">
        <v>300</v>
      </c>
      <c r="H177" s="43" t="str">
        <f t="shared" si="58"/>
        <v>Urban Harris</v>
      </c>
      <c r="I177" s="45">
        <f>INDEX(FeeCalc!M:M,MATCH(C:C,FeeCalc!F:F,0))</f>
        <v>4848918.9123595022</v>
      </c>
      <c r="J177" s="45">
        <f>INDEX(FeeCalc!L:L,MATCH(C:C,FeeCalc!F:F,0))</f>
        <v>4076456.025899597</v>
      </c>
      <c r="K177" s="45">
        <f t="shared" si="59"/>
        <v>8925374.9382590987</v>
      </c>
      <c r="L177" s="45">
        <f>IFERROR(IFERROR(INDEX('2023 IP UPL Data'!N:N,MATCH(A:A,'2023 IP UPL Data'!B:B,0)),INDEX('2023 IMD UPL Data'!M:M,MATCH(A:A,'2023 IMD UPL Data'!B:B,0))),0)</f>
        <v>14725431.357647056</v>
      </c>
      <c r="M177" s="45">
        <f>IFERROR((IF(F177="IMD",0,INDEX('2023 OP UPL Data'!M:M,MATCH(A:A,'2023 OP UPL Data'!B:B,0)))),0)</f>
        <v>2708011.1513235299</v>
      </c>
      <c r="N177" s="45">
        <f t="shared" si="60"/>
        <v>17433442.508970585</v>
      </c>
      <c r="O177" s="45">
        <v>16153794.179840488</v>
      </c>
      <c r="P177" s="45">
        <v>3193602.4851525454</v>
      </c>
      <c r="Q177" s="45">
        <f t="shared" si="61"/>
        <v>19347396.664993033</v>
      </c>
      <c r="R177" s="45" t="str">
        <f t="shared" si="62"/>
        <v>Yes</v>
      </c>
      <c r="S177" s="46" t="str">
        <f t="shared" si="62"/>
        <v>Yes</v>
      </c>
      <c r="T177" s="47">
        <f>ROUND(INDEX(Summary!H:H,MATCH(H:H,Summary!A:A,0)),2)</f>
        <v>2.59</v>
      </c>
      <c r="U177" s="47">
        <f>ROUND(INDEX(Summary!I:I,MATCH(H:H,Summary!A:A,0)),2)</f>
        <v>0.85</v>
      </c>
      <c r="V177" s="85">
        <f t="shared" si="63"/>
        <v>12558699.98301111</v>
      </c>
      <c r="W177" s="85">
        <f t="shared" si="63"/>
        <v>3464987.6220146571</v>
      </c>
      <c r="X177" s="45">
        <f t="shared" si="64"/>
        <v>16023687.605025766</v>
      </c>
      <c r="Y177" s="45" t="s">
        <v>3223</v>
      </c>
      <c r="Z177" s="45" t="str">
        <f t="shared" si="65"/>
        <v>No</v>
      </c>
      <c r="AA177" s="45" t="str">
        <f t="shared" si="65"/>
        <v>No</v>
      </c>
      <c r="AB177" s="45" t="str">
        <f t="shared" si="66"/>
        <v>Yes</v>
      </c>
      <c r="AC177" s="86">
        <f t="shared" si="79"/>
        <v>0.52</v>
      </c>
      <c r="AD177" s="86">
        <f t="shared" si="80"/>
        <v>0</v>
      </c>
      <c r="AE177" s="45">
        <f t="shared" si="81"/>
        <v>2521437.8344269414</v>
      </c>
      <c r="AF177" s="45">
        <f t="shared" si="81"/>
        <v>0</v>
      </c>
      <c r="AG177" s="45">
        <f t="shared" si="67"/>
        <v>2521437.8344269414</v>
      </c>
      <c r="AH177" s="47">
        <f>IF(Y177="No",0,IFERROR(ROUNDDOWN(INDEX('90% of ACR'!K:K,MATCH(H:H,'90% of ACR'!A:A,0))*IF(I177&gt;0,IF(O177&gt;0,$R$4*MAX(O177-V177,0),0),0)/I177,2),0))</f>
        <v>0</v>
      </c>
      <c r="AI177" s="86">
        <f>IF(Y177="No",0,IFERROR(ROUNDDOWN(INDEX('90% of ACR'!R:R,MATCH(H:H,'90% of ACR'!A:A,0))*IF(J177&gt;0,IF(P177&gt;0,$R$4*MAX(P177-W177,0),0),0)/J177,2),0))</f>
        <v>0</v>
      </c>
      <c r="AJ177" s="45">
        <f t="shared" si="68"/>
        <v>0</v>
      </c>
      <c r="AK177" s="45">
        <f t="shared" si="68"/>
        <v>0</v>
      </c>
      <c r="AL177" s="47">
        <f t="shared" si="69"/>
        <v>2.59</v>
      </c>
      <c r="AM177" s="47">
        <f t="shared" si="69"/>
        <v>0.85</v>
      </c>
      <c r="AN177" s="87">
        <f>IFERROR(INDEX(FeeCalc!P:P,MATCH(C177,FeeCalc!F:F,0)),0)</f>
        <v>16023687.605025766</v>
      </c>
      <c r="AO177" s="87">
        <f>IFERROR(INDEX(FeeCalc!S:S,MATCH(C177,FeeCalc!F:F,0)),0)</f>
        <v>997238.09794719354</v>
      </c>
      <c r="AP177" s="87">
        <f t="shared" si="70"/>
        <v>17020925.70297296</v>
      </c>
      <c r="AQ177" s="72">
        <f t="shared" si="71"/>
        <v>7222523.4453939227</v>
      </c>
      <c r="AR177" s="72">
        <f t="shared" si="72"/>
        <v>3611261.7226969614</v>
      </c>
      <c r="AS177" s="72">
        <f t="shared" si="73"/>
        <v>3611261.7226969614</v>
      </c>
      <c r="AT177" s="72">
        <f>IFERROR(IFERROR(INDEX('2023 IP UPL Data'!L:L,MATCH(A:A,'2023 IP UPL Data'!B:B,0)),INDEX('2023 IMD UPL Data'!I:I,MATCH(A:A,'2023 IMD UPL Data'!B:B,0))),0)</f>
        <v>7556161.6323529426</v>
      </c>
      <c r="AU177" s="72">
        <f>IFERROR(IF(F175="IMD",0,INDEX('2023 OP UPL Data'!J:J,MATCH(A:A,'2023 OP UPL Data'!B:B,0))),0)</f>
        <v>2904837.8786764704</v>
      </c>
      <c r="AV177" s="45">
        <f t="shared" si="74"/>
        <v>10460999.511029413</v>
      </c>
      <c r="AW177" s="72">
        <f>IFERROR(IFERROR(INDEX('2023 IP UPL Data'!M:M,MATCH(A:A,'2023 IP UPL Data'!B:B,0)),INDEX('2023 IMD UPL Data'!K:K,MATCH(A:A,'2023 IMD UPL Data'!B:B,0))),0)</f>
        <v>22281592.989999998</v>
      </c>
      <c r="AX177" s="72">
        <f>IFERROR(IF(F175="IMD",0,INDEX('2023 OP UPL Data'!L:L,MATCH(A:A,'2023 OP UPL Data'!B:B,0))),0)</f>
        <v>5612849.0300000003</v>
      </c>
      <c r="AY177" s="45">
        <f t="shared" si="75"/>
        <v>27894442.02</v>
      </c>
      <c r="AZ177" s="72">
        <v>23709955.812193431</v>
      </c>
      <c r="BA177" s="72">
        <v>6098440.3638290158</v>
      </c>
      <c r="BB177" s="72">
        <f t="shared" si="76"/>
        <v>11151255.829182321</v>
      </c>
      <c r="BC177" s="72">
        <f t="shared" si="76"/>
        <v>2633452.7418143586</v>
      </c>
      <c r="BD177" s="72">
        <f t="shared" si="77"/>
        <v>13784708.570996681</v>
      </c>
      <c r="BE177" s="94">
        <f t="shared" si="78"/>
        <v>1428362.8221934326</v>
      </c>
      <c r="BF177" s="94">
        <f t="shared" si="78"/>
        <v>485591.33382901549</v>
      </c>
      <c r="BG177" s="73">
        <f>IFERROR(INDEX('2023 IP UPL Data'!K:K,MATCH(A177,'2023 IP UPL Data'!B:B,0)),0)</f>
        <v>0</v>
      </c>
    </row>
    <row r="178" spans="1:59">
      <c r="A178" s="124" t="s">
        <v>2741</v>
      </c>
      <c r="B178" s="149" t="s">
        <v>1411</v>
      </c>
      <c r="C178" s="31" t="s">
        <v>1812</v>
      </c>
      <c r="D178" s="181" t="s">
        <v>1812</v>
      </c>
      <c r="E178" s="144" t="s">
        <v>3124</v>
      </c>
      <c r="F178" s="120" t="s">
        <v>2718</v>
      </c>
      <c r="G178" s="120" t="s">
        <v>300</v>
      </c>
      <c r="H178" s="43" t="str">
        <f t="shared" si="58"/>
        <v>Urban Harris</v>
      </c>
      <c r="I178" s="45">
        <f>INDEX(FeeCalc!M:M,MATCH(C:C,FeeCalc!F:F,0))</f>
        <v>2973147.7050955631</v>
      </c>
      <c r="J178" s="45">
        <f>INDEX(FeeCalc!L:L,MATCH(C:C,FeeCalc!F:F,0))</f>
        <v>1963258.8284107647</v>
      </c>
      <c r="K178" s="45">
        <f t="shared" si="59"/>
        <v>4936406.5335063282</v>
      </c>
      <c r="L178" s="45">
        <f>IFERROR(IFERROR(INDEX('2023 IP UPL Data'!N:N,MATCH(A:A,'2023 IP UPL Data'!B:B,0)),INDEX('2023 IMD UPL Data'!M:M,MATCH(A:A,'2023 IMD UPL Data'!B:B,0))),0)</f>
        <v>4872113.9891176466</v>
      </c>
      <c r="M178" s="45">
        <f>IFERROR((IF(F178="IMD",0,INDEX('2023 OP UPL Data'!M:M,MATCH(A:A,'2023 OP UPL Data'!B:B,0)))),0)</f>
        <v>3507381.5414705887</v>
      </c>
      <c r="N178" s="45">
        <f t="shared" si="60"/>
        <v>8379495.5305882357</v>
      </c>
      <c r="O178" s="45">
        <v>8424216.0470963772</v>
      </c>
      <c r="P178" s="45">
        <v>4337277.8000325374</v>
      </c>
      <c r="Q178" s="45">
        <f t="shared" si="61"/>
        <v>12761493.847128915</v>
      </c>
      <c r="R178" s="45" t="str">
        <f t="shared" si="62"/>
        <v>Yes</v>
      </c>
      <c r="S178" s="46" t="str">
        <f t="shared" si="62"/>
        <v>Yes</v>
      </c>
      <c r="T178" s="47">
        <f>ROUND(INDEX(Summary!H:H,MATCH(H:H,Summary!A:A,0)),2)</f>
        <v>2.59</v>
      </c>
      <c r="U178" s="47">
        <f>ROUND(INDEX(Summary!I:I,MATCH(H:H,Summary!A:A,0)),2)</f>
        <v>0.85</v>
      </c>
      <c r="V178" s="85">
        <f t="shared" si="63"/>
        <v>7700452.5561975082</v>
      </c>
      <c r="W178" s="85">
        <f t="shared" si="63"/>
        <v>1668770.0041491499</v>
      </c>
      <c r="X178" s="45">
        <f t="shared" si="64"/>
        <v>9369222.5603466574</v>
      </c>
      <c r="Y178" s="45" t="s">
        <v>3223</v>
      </c>
      <c r="Z178" s="45" t="str">
        <f t="shared" si="65"/>
        <v>No</v>
      </c>
      <c r="AA178" s="45" t="str">
        <f t="shared" si="65"/>
        <v>Yes</v>
      </c>
      <c r="AB178" s="45" t="str">
        <f t="shared" si="66"/>
        <v>Yes</v>
      </c>
      <c r="AC178" s="86">
        <f t="shared" si="79"/>
        <v>0.17</v>
      </c>
      <c r="AD178" s="86">
        <f t="shared" si="80"/>
        <v>0.95</v>
      </c>
      <c r="AE178" s="45">
        <f t="shared" si="81"/>
        <v>505435.10986624577</v>
      </c>
      <c r="AF178" s="45">
        <f t="shared" si="81"/>
        <v>1865095.8869902263</v>
      </c>
      <c r="AG178" s="45">
        <f t="shared" si="67"/>
        <v>2370530.996856472</v>
      </c>
      <c r="AH178" s="47">
        <f>IF(Y178="No",0,IFERROR(ROUNDDOWN(INDEX('90% of ACR'!K:K,MATCH(H:H,'90% of ACR'!A:A,0))*IF(I178&gt;0,IF(O178&gt;0,$R$4*MAX(O178-V178,0),0),0)/I178,2),0))</f>
        <v>0</v>
      </c>
      <c r="AI178" s="86">
        <f>IF(Y178="No",0,IFERROR(ROUNDDOWN(INDEX('90% of ACR'!R:R,MATCH(H:H,'90% of ACR'!A:A,0))*IF(J178&gt;0,IF(P178&gt;0,$R$4*MAX(P178-W178,0),0),0)/J178,2),0))</f>
        <v>0.71</v>
      </c>
      <c r="AJ178" s="45">
        <f t="shared" si="68"/>
        <v>0</v>
      </c>
      <c r="AK178" s="45">
        <f t="shared" si="68"/>
        <v>1393913.7681716429</v>
      </c>
      <c r="AL178" s="47">
        <f t="shared" si="69"/>
        <v>2.59</v>
      </c>
      <c r="AM178" s="47">
        <f t="shared" si="69"/>
        <v>1.56</v>
      </c>
      <c r="AN178" s="87">
        <f>IFERROR(INDEX(FeeCalc!P:P,MATCH(C178,FeeCalc!F:F,0)),0)</f>
        <v>10763136.328518301</v>
      </c>
      <c r="AO178" s="87">
        <f>IFERROR(INDEX(FeeCalc!S:S,MATCH(C178,FeeCalc!F:F,0)),0)</f>
        <v>667853.37119378173</v>
      </c>
      <c r="AP178" s="87">
        <f t="shared" si="70"/>
        <v>11430989.699712083</v>
      </c>
      <c r="AQ178" s="72">
        <f t="shared" si="71"/>
        <v>4850534.7212582277</v>
      </c>
      <c r="AR178" s="72">
        <f t="shared" si="72"/>
        <v>2425267.3606291139</v>
      </c>
      <c r="AS178" s="72">
        <f t="shared" si="73"/>
        <v>2425267.3606291139</v>
      </c>
      <c r="AT178" s="72">
        <f>IFERROR(IFERROR(INDEX('2023 IP UPL Data'!L:L,MATCH(A:A,'2023 IP UPL Data'!B:B,0)),INDEX('2023 IMD UPL Data'!I:I,MATCH(A:A,'2023 IMD UPL Data'!B:B,0))),0)</f>
        <v>3452654.8308823537</v>
      </c>
      <c r="AU178" s="72">
        <f>IFERROR(IF(F176="IMD",0,INDEX('2023 OP UPL Data'!J:J,MATCH(A:A,'2023 OP UPL Data'!B:B,0))),0)</f>
        <v>1234973.4485294116</v>
      </c>
      <c r="AV178" s="45">
        <f t="shared" si="74"/>
        <v>4687628.2794117648</v>
      </c>
      <c r="AW178" s="72">
        <f>IFERROR(IFERROR(INDEX('2023 IP UPL Data'!M:M,MATCH(A:A,'2023 IP UPL Data'!B:B,0)),INDEX('2023 IMD UPL Data'!K:K,MATCH(A:A,'2023 IMD UPL Data'!B:B,0))),0)</f>
        <v>8324768.8200000003</v>
      </c>
      <c r="AX178" s="72">
        <f>IFERROR(IF(F176="IMD",0,INDEX('2023 OP UPL Data'!L:L,MATCH(A:A,'2023 OP UPL Data'!B:B,0))),0)</f>
        <v>4742354.99</v>
      </c>
      <c r="AY178" s="45">
        <f t="shared" si="75"/>
        <v>13067123.810000001</v>
      </c>
      <c r="AZ178" s="72">
        <v>11876870.877978731</v>
      </c>
      <c r="BA178" s="72">
        <v>5572251.2485619495</v>
      </c>
      <c r="BB178" s="72">
        <f t="shared" si="76"/>
        <v>4176418.3217812227</v>
      </c>
      <c r="BC178" s="72">
        <f t="shared" si="76"/>
        <v>3903481.2444127994</v>
      </c>
      <c r="BD178" s="72">
        <f t="shared" si="77"/>
        <v>8079899.5661940221</v>
      </c>
      <c r="BE178" s="94">
        <f t="shared" si="78"/>
        <v>3552102.0579787306</v>
      </c>
      <c r="BF178" s="94">
        <f t="shared" si="78"/>
        <v>829896.25856194925</v>
      </c>
      <c r="BG178" s="73">
        <f>IFERROR(INDEX('2023 IP UPL Data'!K:K,MATCH(A178,'2023 IP UPL Data'!B:B,0)),0)</f>
        <v>0</v>
      </c>
    </row>
    <row r="179" spans="1:59" ht="25.5">
      <c r="A179" s="124" t="s">
        <v>1244</v>
      </c>
      <c r="B179" s="149" t="s">
        <v>1244</v>
      </c>
      <c r="C179" s="31" t="s">
        <v>1245</v>
      </c>
      <c r="D179" s="181" t="s">
        <v>1245</v>
      </c>
      <c r="E179" s="144" t="s">
        <v>3196</v>
      </c>
      <c r="F179" s="120" t="s">
        <v>3069</v>
      </c>
      <c r="G179" s="120" t="s">
        <v>1202</v>
      </c>
      <c r="H179" s="43" t="str">
        <f t="shared" si="58"/>
        <v>Non-state-owned IMD Travis</v>
      </c>
      <c r="I179" s="45">
        <f>INDEX(FeeCalc!M:M,MATCH(C:C,FeeCalc!F:F,0))</f>
        <v>1050741.3786919031</v>
      </c>
      <c r="J179" s="45">
        <f>INDEX(FeeCalc!L:L,MATCH(C:C,FeeCalc!F:F,0))</f>
        <v>0</v>
      </c>
      <c r="K179" s="45">
        <f t="shared" si="59"/>
        <v>1050741.3786919031</v>
      </c>
      <c r="L179" s="45">
        <f>IFERROR(IFERROR(INDEX('2023 IP UPL Data'!N:N,MATCH(A:A,'2023 IP UPL Data'!B:B,0)),INDEX('2023 IMD UPL Data'!M:M,MATCH(A:A,'2023 IMD UPL Data'!B:B,0))),0)</f>
        <v>425927.84</v>
      </c>
      <c r="M179" s="45">
        <f>IFERROR((IF(F179="IMD",0,INDEX('2023 OP UPL Data'!M:M,MATCH(A:A,'2023 OP UPL Data'!B:B,0)))),0)</f>
        <v>0</v>
      </c>
      <c r="N179" s="45">
        <f t="shared" si="60"/>
        <v>425927.84</v>
      </c>
      <c r="O179" s="45">
        <v>554141.31195073703</v>
      </c>
      <c r="P179" s="45">
        <v>0</v>
      </c>
      <c r="Q179" s="45">
        <f t="shared" si="61"/>
        <v>554141.31195073703</v>
      </c>
      <c r="R179" s="45" t="str">
        <f t="shared" si="62"/>
        <v>Yes</v>
      </c>
      <c r="S179" s="46" t="str">
        <f t="shared" si="62"/>
        <v>No</v>
      </c>
      <c r="T179" s="47">
        <f>ROUND(INDEX(Summary!H:H,MATCH(H:H,Summary!A:A,0)),2)</f>
        <v>0.63</v>
      </c>
      <c r="U179" s="47">
        <f>ROUND(INDEX(Summary!I:I,MATCH(H:H,Summary!A:A,0)),2)</f>
        <v>0</v>
      </c>
      <c r="V179" s="85">
        <f t="shared" si="63"/>
        <v>661967.068575899</v>
      </c>
      <c r="W179" s="85">
        <f t="shared" si="63"/>
        <v>0</v>
      </c>
      <c r="X179" s="45">
        <f t="shared" si="64"/>
        <v>661967.068575899</v>
      </c>
      <c r="Y179" s="45" t="s">
        <v>3223</v>
      </c>
      <c r="Z179" s="45" t="str">
        <f t="shared" si="65"/>
        <v>No</v>
      </c>
      <c r="AA179" s="45" t="str">
        <f t="shared" si="65"/>
        <v>No</v>
      </c>
      <c r="AB179" s="45" t="str">
        <f t="shared" si="66"/>
        <v>No</v>
      </c>
      <c r="AC179" s="86">
        <f t="shared" si="79"/>
        <v>0</v>
      </c>
      <c r="AD179" s="86">
        <f t="shared" si="80"/>
        <v>0</v>
      </c>
      <c r="AE179" s="45">
        <f t="shared" si="81"/>
        <v>0</v>
      </c>
      <c r="AF179" s="45">
        <f t="shared" si="81"/>
        <v>0</v>
      </c>
      <c r="AG179" s="45">
        <f t="shared" si="67"/>
        <v>0</v>
      </c>
      <c r="AH179" s="47">
        <f>IF(Y179="No",0,IFERROR(ROUNDDOWN(INDEX('90% of ACR'!K:K,MATCH(H:H,'90% of ACR'!A:A,0))*IF(I179&gt;0,IF(O179&gt;0,$R$4*MAX(O179-V179,0),0),0)/I179,2),0))</f>
        <v>0</v>
      </c>
      <c r="AI179" s="86">
        <f>IF(Y179="No",0,IFERROR(ROUNDDOWN(INDEX('90% of ACR'!R:R,MATCH(H:H,'90% of ACR'!A:A,0))*IF(J179&gt;0,IF(P179&gt;0,$R$4*MAX(P179-W179,0),0),0)/J179,2),0))</f>
        <v>0</v>
      </c>
      <c r="AJ179" s="45">
        <f t="shared" si="68"/>
        <v>0</v>
      </c>
      <c r="AK179" s="45">
        <f t="shared" si="68"/>
        <v>0</v>
      </c>
      <c r="AL179" s="47">
        <f t="shared" si="69"/>
        <v>0.63</v>
      </c>
      <c r="AM179" s="47">
        <f t="shared" si="69"/>
        <v>0</v>
      </c>
      <c r="AN179" s="87">
        <f>IFERROR(INDEX(FeeCalc!P:P,MATCH(C179,FeeCalc!F:F,0)),0)</f>
        <v>661967.068575899</v>
      </c>
      <c r="AO179" s="87">
        <f>IFERROR(INDEX(FeeCalc!S:S,MATCH(C179,FeeCalc!F:F,0)),0)</f>
        <v>40385.258825585348</v>
      </c>
      <c r="AP179" s="87">
        <f t="shared" si="70"/>
        <v>702352.32740148436</v>
      </c>
      <c r="AQ179" s="72">
        <f t="shared" si="71"/>
        <v>298030.56779092673</v>
      </c>
      <c r="AR179" s="72">
        <f t="shared" si="72"/>
        <v>149015.28389546336</v>
      </c>
      <c r="AS179" s="72">
        <f t="shared" si="73"/>
        <v>149015.28389546336</v>
      </c>
      <c r="AT179" s="72">
        <f>IFERROR(IFERROR(INDEX('2023 IP UPL Data'!L:L,MATCH(A:A,'2023 IP UPL Data'!B:B,0)),INDEX('2023 IMD UPL Data'!I:I,MATCH(A:A,'2023 IMD UPL Data'!B:B,0))),0)</f>
        <v>749766.4</v>
      </c>
      <c r="AU179" s="72">
        <f>IFERROR(IF(F177="IMD",0,INDEX('2023 OP UPL Data'!J:J,MATCH(A:A,'2023 OP UPL Data'!B:B,0))),0)</f>
        <v>0</v>
      </c>
      <c r="AV179" s="45">
        <f t="shared" si="74"/>
        <v>749766.4</v>
      </c>
      <c r="AW179" s="72">
        <f>IFERROR(IFERROR(INDEX('2023 IP UPL Data'!M:M,MATCH(A:A,'2023 IP UPL Data'!B:B,0)),INDEX('2023 IMD UPL Data'!K:K,MATCH(A:A,'2023 IMD UPL Data'!B:B,0))),0)</f>
        <v>425927.84</v>
      </c>
      <c r="AX179" s="72">
        <f>IFERROR(IF(F177="IMD",0,INDEX('2023 OP UPL Data'!L:L,MATCH(A:A,'2023 OP UPL Data'!B:B,0))),0)</f>
        <v>0</v>
      </c>
      <c r="AY179" s="45">
        <f t="shared" si="75"/>
        <v>425927.84</v>
      </c>
      <c r="AZ179" s="72">
        <v>1303907.7119507371</v>
      </c>
      <c r="BA179" s="72">
        <v>0</v>
      </c>
      <c r="BB179" s="72">
        <f t="shared" si="76"/>
        <v>641940.64337483805</v>
      </c>
      <c r="BC179" s="72">
        <f t="shared" si="76"/>
        <v>0</v>
      </c>
      <c r="BD179" s="72">
        <f t="shared" si="77"/>
        <v>641940.64337483805</v>
      </c>
      <c r="BE179" s="94">
        <f t="shared" si="78"/>
        <v>877979.87195073697</v>
      </c>
      <c r="BF179" s="94">
        <f t="shared" si="78"/>
        <v>0</v>
      </c>
      <c r="BG179" s="73">
        <f>IFERROR(INDEX('2023 IP UPL Data'!K:K,MATCH(A179,'2023 IP UPL Data'!B:B,0)),0)</f>
        <v>0</v>
      </c>
    </row>
    <row r="180" spans="1:59">
      <c r="A180" s="124" t="s">
        <v>97</v>
      </c>
      <c r="B180" s="149" t="s">
        <v>97</v>
      </c>
      <c r="C180" s="31" t="s">
        <v>98</v>
      </c>
      <c r="D180" s="181" t="s">
        <v>98</v>
      </c>
      <c r="E180" s="144" t="s">
        <v>3365</v>
      </c>
      <c r="F180" s="120" t="s">
        <v>2768</v>
      </c>
      <c r="G180" s="120" t="s">
        <v>1489</v>
      </c>
      <c r="H180" s="43" t="str">
        <f t="shared" si="58"/>
        <v>Rural MRSA Central</v>
      </c>
      <c r="I180" s="45">
        <f>INDEX(FeeCalc!M:M,MATCH(C:C,FeeCalc!F:F,0))</f>
        <v>1161260.825514327</v>
      </c>
      <c r="J180" s="45">
        <f>INDEX(FeeCalc!L:L,MATCH(C:C,FeeCalc!F:F,0))</f>
        <v>1663077.5983161614</v>
      </c>
      <c r="K180" s="45">
        <f t="shared" si="59"/>
        <v>2824338.4238304887</v>
      </c>
      <c r="L180" s="45">
        <f>IFERROR(IFERROR(INDEX('2023 IP UPL Data'!N:N,MATCH(A:A,'2023 IP UPL Data'!B:B,0)),INDEX('2023 IMD UPL Data'!M:M,MATCH(A:A,'2023 IMD UPL Data'!B:B,0))),0)</f>
        <v>54696.340874397429</v>
      </c>
      <c r="M180" s="45">
        <f>IFERROR((IF(F180="IMD",0,INDEX('2023 OP UPL Data'!M:M,MATCH(A:A,'2023 OP UPL Data'!B:B,0)))),0)</f>
        <v>443241.07629139116</v>
      </c>
      <c r="N180" s="45">
        <f t="shared" si="60"/>
        <v>497937.41716578859</v>
      </c>
      <c r="O180" s="45">
        <v>601093.8169973758</v>
      </c>
      <c r="P180" s="45">
        <v>2307213.647519866</v>
      </c>
      <c r="Q180" s="45">
        <f t="shared" si="61"/>
        <v>2908307.4645172418</v>
      </c>
      <c r="R180" s="45" t="str">
        <f t="shared" si="62"/>
        <v>Yes</v>
      </c>
      <c r="S180" s="46" t="str">
        <f t="shared" si="62"/>
        <v>Yes</v>
      </c>
      <c r="T180" s="47">
        <f>ROUND(INDEX(Summary!H:H,MATCH(H:H,Summary!A:A,0)),2)</f>
        <v>0</v>
      </c>
      <c r="U180" s="47">
        <f>ROUND(INDEX(Summary!I:I,MATCH(H:H,Summary!A:A,0)),2)</f>
        <v>0.17</v>
      </c>
      <c r="V180" s="85">
        <f t="shared" si="63"/>
        <v>0</v>
      </c>
      <c r="W180" s="85">
        <f t="shared" si="63"/>
        <v>282723.19171374745</v>
      </c>
      <c r="X180" s="45">
        <f t="shared" si="64"/>
        <v>282723.19171374745</v>
      </c>
      <c r="Y180" s="45" t="s">
        <v>3223</v>
      </c>
      <c r="Z180" s="45" t="str">
        <f t="shared" si="65"/>
        <v>No</v>
      </c>
      <c r="AA180" s="45" t="str">
        <f t="shared" si="65"/>
        <v>Yes</v>
      </c>
      <c r="AB180" s="45" t="str">
        <f t="shared" si="66"/>
        <v>Yes</v>
      </c>
      <c r="AC180" s="86">
        <f t="shared" si="79"/>
        <v>0.36</v>
      </c>
      <c r="AD180" s="86">
        <f t="shared" si="80"/>
        <v>0.85</v>
      </c>
      <c r="AE180" s="45">
        <f t="shared" si="81"/>
        <v>418053.89718515769</v>
      </c>
      <c r="AF180" s="45">
        <f t="shared" si="81"/>
        <v>1413615.9585687371</v>
      </c>
      <c r="AG180" s="45">
        <f t="shared" si="67"/>
        <v>1831669.8557538949</v>
      </c>
      <c r="AH180" s="47">
        <f>IF(Y180="No",0,IFERROR(ROUNDDOWN(INDEX('90% of ACR'!K:K,MATCH(H:H,'90% of ACR'!A:A,0))*IF(I180&gt;0,IF(O180&gt;0,$R$4*MAX(O180-V180,0),0),0)/I180,2),0))</f>
        <v>0</v>
      </c>
      <c r="AI180" s="86">
        <f>IF(Y180="No",0,IFERROR(ROUNDDOWN(INDEX('90% of ACR'!R:R,MATCH(H:H,'90% of ACR'!A:A,0))*IF(J180&gt;0,IF(P180&gt;0,$R$4*MAX(P180-W180,0),0),0)/J180,2),0))</f>
        <v>0.84</v>
      </c>
      <c r="AJ180" s="45">
        <f t="shared" si="68"/>
        <v>0</v>
      </c>
      <c r="AK180" s="45">
        <f t="shared" si="68"/>
        <v>1396985.1825855756</v>
      </c>
      <c r="AL180" s="47">
        <f t="shared" si="69"/>
        <v>0</v>
      </c>
      <c r="AM180" s="47">
        <f t="shared" si="69"/>
        <v>1.01</v>
      </c>
      <c r="AN180" s="87">
        <f>IFERROR(INDEX(FeeCalc!P:P,MATCH(C180,FeeCalc!F:F,0)),0)</f>
        <v>1679708.374299323</v>
      </c>
      <c r="AO180" s="87">
        <f>IFERROR(INDEX(FeeCalc!S:S,MATCH(C180,FeeCalc!F:F,0)),0)</f>
        <v>103586.59035195135</v>
      </c>
      <c r="AP180" s="87">
        <f t="shared" si="70"/>
        <v>1783294.9646512743</v>
      </c>
      <c r="AQ180" s="72">
        <f t="shared" si="71"/>
        <v>756709.11894040462</v>
      </c>
      <c r="AR180" s="72">
        <f t="shared" si="72"/>
        <v>378354.55947020231</v>
      </c>
      <c r="AS180" s="72">
        <f t="shared" si="73"/>
        <v>378354.55947020231</v>
      </c>
      <c r="AT180" s="72">
        <f>IFERROR(IFERROR(INDEX('2023 IP UPL Data'!L:L,MATCH(A:A,'2023 IP UPL Data'!B:B,0)),INDEX('2023 IMD UPL Data'!I:I,MATCH(A:A,'2023 IMD UPL Data'!B:B,0))),0)</f>
        <v>1134305.5391256025</v>
      </c>
      <c r="AU180" s="72">
        <f>IFERROR(IF(F178="IMD",0,INDEX('2023 OP UPL Data'!J:J,MATCH(A:A,'2023 OP UPL Data'!B:B,0))),0)</f>
        <v>668491.28370860894</v>
      </c>
      <c r="AV180" s="45">
        <f t="shared" si="74"/>
        <v>1802796.8228342114</v>
      </c>
      <c r="AW180" s="72">
        <f>IFERROR(IFERROR(INDEX('2023 IP UPL Data'!M:M,MATCH(A:A,'2023 IP UPL Data'!B:B,0)),INDEX('2023 IMD UPL Data'!K:K,MATCH(A:A,'2023 IMD UPL Data'!B:B,0))),0)</f>
        <v>1189001.8799999999</v>
      </c>
      <c r="AX180" s="72">
        <f>IFERROR(IF(F178="IMD",0,INDEX('2023 OP UPL Data'!L:L,MATCH(A:A,'2023 OP UPL Data'!B:B,0))),0)</f>
        <v>1111732.3600000001</v>
      </c>
      <c r="AY180" s="45">
        <f t="shared" si="75"/>
        <v>2300734.2400000002</v>
      </c>
      <c r="AZ180" s="72">
        <v>1735399.3561229783</v>
      </c>
      <c r="BA180" s="72">
        <v>2975704.9312284752</v>
      </c>
      <c r="BB180" s="72">
        <f t="shared" si="76"/>
        <v>1735399.3561229783</v>
      </c>
      <c r="BC180" s="72">
        <f t="shared" si="76"/>
        <v>2692981.7395147276</v>
      </c>
      <c r="BD180" s="72">
        <f t="shared" si="77"/>
        <v>4428381.0956377061</v>
      </c>
      <c r="BE180" s="94">
        <f t="shared" si="78"/>
        <v>546397.47612297838</v>
      </c>
      <c r="BF180" s="94">
        <f t="shared" si="78"/>
        <v>1863972.5712284751</v>
      </c>
      <c r="BG180" s="73">
        <f>IFERROR(INDEX('2023 IP UPL Data'!K:K,MATCH(A180,'2023 IP UPL Data'!B:B,0)),0)</f>
        <v>0</v>
      </c>
    </row>
    <row r="181" spans="1:59" ht="25.5">
      <c r="A181" s="124" t="s">
        <v>1234</v>
      </c>
      <c r="B181" s="149" t="s">
        <v>1234</v>
      </c>
      <c r="C181" s="31" t="s">
        <v>1235</v>
      </c>
      <c r="D181" s="181" t="s">
        <v>1235</v>
      </c>
      <c r="E181" s="144" t="s">
        <v>3083</v>
      </c>
      <c r="F181" s="120" t="s">
        <v>3069</v>
      </c>
      <c r="G181" s="120" t="s">
        <v>223</v>
      </c>
      <c r="H181" s="43" t="str">
        <f t="shared" si="58"/>
        <v>Non-state-owned IMD Dallas</v>
      </c>
      <c r="I181" s="45">
        <f>INDEX(FeeCalc!M:M,MATCH(C:C,FeeCalc!F:F,0))</f>
        <v>1833367.8338286444</v>
      </c>
      <c r="J181" s="45">
        <f>INDEX(FeeCalc!L:L,MATCH(C:C,FeeCalc!F:F,0))</f>
        <v>0</v>
      </c>
      <c r="K181" s="45">
        <f t="shared" si="59"/>
        <v>1833367.8338286444</v>
      </c>
      <c r="L181" s="45">
        <f>IFERROR(IFERROR(INDEX('2023 IP UPL Data'!N:N,MATCH(A:A,'2023 IP UPL Data'!B:B,0)),INDEX('2023 IMD UPL Data'!M:M,MATCH(A:A,'2023 IMD UPL Data'!B:B,0))),0)</f>
        <v>540116.99</v>
      </c>
      <c r="M181" s="45">
        <f>IFERROR((IF(F181="IMD",0,INDEX('2023 OP UPL Data'!M:M,MATCH(A:A,'2023 OP UPL Data'!B:B,0)))),0)</f>
        <v>0</v>
      </c>
      <c r="N181" s="45">
        <f t="shared" si="60"/>
        <v>540116.99</v>
      </c>
      <c r="O181" s="45">
        <v>609841.04704110126</v>
      </c>
      <c r="P181" s="45">
        <v>0</v>
      </c>
      <c r="Q181" s="45">
        <f t="shared" si="61"/>
        <v>609841.04704110126</v>
      </c>
      <c r="R181" s="45" t="str">
        <f t="shared" si="62"/>
        <v>Yes</v>
      </c>
      <c r="S181" s="46" t="str">
        <f t="shared" si="62"/>
        <v>No</v>
      </c>
      <c r="T181" s="47">
        <f>ROUND(INDEX(Summary!H:H,MATCH(H:H,Summary!A:A,0)),2)</f>
        <v>0.03</v>
      </c>
      <c r="U181" s="47">
        <f>ROUND(INDEX(Summary!I:I,MATCH(H:H,Summary!A:A,0)),2)</f>
        <v>0</v>
      </c>
      <c r="V181" s="85">
        <f t="shared" si="63"/>
        <v>55001.035014859328</v>
      </c>
      <c r="W181" s="85">
        <f t="shared" si="63"/>
        <v>0</v>
      </c>
      <c r="X181" s="45">
        <f t="shared" si="64"/>
        <v>55001.035014859328</v>
      </c>
      <c r="Y181" s="45" t="s">
        <v>3223</v>
      </c>
      <c r="Z181" s="45" t="str">
        <f t="shared" si="65"/>
        <v>Yes</v>
      </c>
      <c r="AA181" s="45" t="str">
        <f t="shared" si="65"/>
        <v>No</v>
      </c>
      <c r="AB181" s="45" t="str">
        <f t="shared" si="66"/>
        <v>Yes</v>
      </c>
      <c r="AC181" s="86">
        <f t="shared" si="79"/>
        <v>0.21</v>
      </c>
      <c r="AD181" s="86">
        <f t="shared" si="80"/>
        <v>0</v>
      </c>
      <c r="AE181" s="45">
        <f t="shared" si="81"/>
        <v>385007.24510401528</v>
      </c>
      <c r="AF181" s="45">
        <f t="shared" si="81"/>
        <v>0</v>
      </c>
      <c r="AG181" s="45">
        <f t="shared" si="67"/>
        <v>385007.24510401528</v>
      </c>
      <c r="AH181" s="47">
        <f>IF(Y181="No",0,IFERROR(ROUNDDOWN(INDEX('90% of ACR'!K:K,MATCH(H:H,'90% of ACR'!A:A,0))*IF(I181&gt;0,IF(O181&gt;0,$R$4*MAX(O181-V181,0),0),0)/I181,2),0))</f>
        <v>0.18</v>
      </c>
      <c r="AI181" s="86">
        <f>IF(Y181="No",0,IFERROR(ROUNDDOWN(INDEX('90% of ACR'!R:R,MATCH(H:H,'90% of ACR'!A:A,0))*IF(J181&gt;0,IF(P181&gt;0,$R$4*MAX(P181-W181,0),0),0)/J181,2),0))</f>
        <v>0</v>
      </c>
      <c r="AJ181" s="45">
        <f t="shared" si="68"/>
        <v>330006.210089156</v>
      </c>
      <c r="AK181" s="45">
        <f t="shared" si="68"/>
        <v>0</v>
      </c>
      <c r="AL181" s="47">
        <f t="shared" si="69"/>
        <v>0.21</v>
      </c>
      <c r="AM181" s="47">
        <f t="shared" si="69"/>
        <v>0</v>
      </c>
      <c r="AN181" s="87">
        <f>IFERROR(INDEX(FeeCalc!P:P,MATCH(C181,FeeCalc!F:F,0)),0)</f>
        <v>385007.24510401528</v>
      </c>
      <c r="AO181" s="87">
        <f>IFERROR(INDEX(FeeCalc!S:S,MATCH(C181,FeeCalc!F:F,0)),0)</f>
        <v>23488.505669475737</v>
      </c>
      <c r="AP181" s="87">
        <f t="shared" si="70"/>
        <v>408495.75077349099</v>
      </c>
      <c r="AQ181" s="72">
        <f t="shared" si="71"/>
        <v>173337.818917217</v>
      </c>
      <c r="AR181" s="72">
        <f t="shared" si="72"/>
        <v>86668.909458608498</v>
      </c>
      <c r="AS181" s="72">
        <f t="shared" si="73"/>
        <v>86668.909458608498</v>
      </c>
      <c r="AT181" s="72">
        <f>IFERROR(IFERROR(INDEX('2023 IP UPL Data'!L:L,MATCH(A:A,'2023 IP UPL Data'!B:B,0)),INDEX('2023 IMD UPL Data'!I:I,MATCH(A:A,'2023 IMD UPL Data'!B:B,0))),0)</f>
        <v>860687.9</v>
      </c>
      <c r="AU181" s="72">
        <f>IFERROR(IF(F179="IMD",0,INDEX('2023 OP UPL Data'!J:J,MATCH(A:A,'2023 OP UPL Data'!B:B,0))),0)</f>
        <v>0</v>
      </c>
      <c r="AV181" s="45">
        <f t="shared" si="74"/>
        <v>860687.9</v>
      </c>
      <c r="AW181" s="72">
        <f>IFERROR(IFERROR(INDEX('2023 IP UPL Data'!M:M,MATCH(A:A,'2023 IP UPL Data'!B:B,0)),INDEX('2023 IMD UPL Data'!K:K,MATCH(A:A,'2023 IMD UPL Data'!B:B,0))),0)</f>
        <v>540116.99</v>
      </c>
      <c r="AX181" s="72">
        <f>IFERROR(IF(F179="IMD",0,INDEX('2023 OP UPL Data'!L:L,MATCH(A:A,'2023 OP UPL Data'!B:B,0))),0)</f>
        <v>0</v>
      </c>
      <c r="AY181" s="45">
        <f t="shared" si="75"/>
        <v>540116.99</v>
      </c>
      <c r="AZ181" s="72">
        <v>1470528.9470411013</v>
      </c>
      <c r="BA181" s="72">
        <v>0</v>
      </c>
      <c r="BB181" s="72">
        <f t="shared" si="76"/>
        <v>1415527.9120262419</v>
      </c>
      <c r="BC181" s="72">
        <f t="shared" si="76"/>
        <v>0</v>
      </c>
      <c r="BD181" s="72">
        <f t="shared" si="77"/>
        <v>1415527.9120262419</v>
      </c>
      <c r="BE181" s="94">
        <f t="shared" si="78"/>
        <v>930411.9570411013</v>
      </c>
      <c r="BF181" s="94">
        <f t="shared" si="78"/>
        <v>0</v>
      </c>
      <c r="BG181" s="73">
        <f>IFERROR(INDEX('2023 IP UPL Data'!K:K,MATCH(A181,'2023 IP UPL Data'!B:B,0)),0)</f>
        <v>0</v>
      </c>
    </row>
    <row r="182" spans="1:59">
      <c r="A182" s="124" t="s">
        <v>55</v>
      </c>
      <c r="B182" s="149" t="s">
        <v>55</v>
      </c>
      <c r="C182" s="31" t="s">
        <v>56</v>
      </c>
      <c r="D182" s="181" t="s">
        <v>56</v>
      </c>
      <c r="E182" s="144" t="s">
        <v>3414</v>
      </c>
      <c r="F182" s="120" t="s">
        <v>1552</v>
      </c>
      <c r="G182" s="120" t="s">
        <v>223</v>
      </c>
      <c r="H182" s="43" t="str">
        <f t="shared" si="58"/>
        <v>Children's Dallas</v>
      </c>
      <c r="I182" s="45">
        <f>INDEX(FeeCalc!M:M,MATCH(C:C,FeeCalc!F:F,0))</f>
        <v>161771586.03795141</v>
      </c>
      <c r="J182" s="45">
        <f>INDEX(FeeCalc!L:L,MATCH(C:C,FeeCalc!F:F,0))</f>
        <v>156161686.67182097</v>
      </c>
      <c r="K182" s="45">
        <f t="shared" si="59"/>
        <v>317933272.70977235</v>
      </c>
      <c r="L182" s="45">
        <f>IFERROR(IFERROR(INDEX('2023 IP UPL Data'!N:N,MATCH(A:A,'2023 IP UPL Data'!B:B,0)),INDEX('2023 IMD UPL Data'!M:M,MATCH(A:A,'2023 IMD UPL Data'!B:B,0))),0)</f>
        <v>287056535.66895103</v>
      </c>
      <c r="M182" s="45">
        <f>IFERROR((IF(F182="IMD",0,INDEX('2023 OP UPL Data'!M:M,MATCH(A:A,'2023 OP UPL Data'!B:B,0)))),0)</f>
        <v>552971.80349649489</v>
      </c>
      <c r="N182" s="45">
        <f t="shared" si="60"/>
        <v>287609507.47244751</v>
      </c>
      <c r="O182" s="45">
        <v>197043933.24503368</v>
      </c>
      <c r="P182" s="45">
        <v>95926726.935356319</v>
      </c>
      <c r="Q182" s="45">
        <f t="shared" si="61"/>
        <v>292970660.18039</v>
      </c>
      <c r="R182" s="45" t="str">
        <f t="shared" si="62"/>
        <v>Yes</v>
      </c>
      <c r="S182" s="46" t="str">
        <f t="shared" si="62"/>
        <v>Yes</v>
      </c>
      <c r="T182" s="47">
        <f>ROUND(INDEX(Summary!H:H,MATCH(H:H,Summary!A:A,0)),2)</f>
        <v>1.6</v>
      </c>
      <c r="U182" s="47">
        <f>ROUND(INDEX(Summary!I:I,MATCH(H:H,Summary!A:A,0)),2)</f>
        <v>0</v>
      </c>
      <c r="V182" s="85">
        <f t="shared" si="63"/>
        <v>258834537.66072226</v>
      </c>
      <c r="W182" s="85">
        <f t="shared" si="63"/>
        <v>0</v>
      </c>
      <c r="X182" s="45">
        <f t="shared" si="64"/>
        <v>258834537.66072226</v>
      </c>
      <c r="Y182" s="45" t="s">
        <v>3223</v>
      </c>
      <c r="Z182" s="45" t="str">
        <f t="shared" si="65"/>
        <v>No</v>
      </c>
      <c r="AA182" s="45" t="str">
        <f t="shared" si="65"/>
        <v>Yes</v>
      </c>
      <c r="AB182" s="45" t="str">
        <f t="shared" si="66"/>
        <v>Yes</v>
      </c>
      <c r="AC182" s="86">
        <f t="shared" si="79"/>
        <v>0</v>
      </c>
      <c r="AD182" s="86">
        <f t="shared" si="80"/>
        <v>0.43</v>
      </c>
      <c r="AE182" s="45">
        <f t="shared" si="81"/>
        <v>0</v>
      </c>
      <c r="AF182" s="45">
        <f t="shared" si="81"/>
        <v>67149525.26888302</v>
      </c>
      <c r="AG182" s="45">
        <f t="shared" si="67"/>
        <v>67149525.26888302</v>
      </c>
      <c r="AH182" s="47">
        <f>IF(Y182="No",0,IFERROR(ROUNDDOWN(INDEX('90% of ACR'!K:K,MATCH(H:H,'90% of ACR'!A:A,0))*IF(I182&gt;0,IF(O182&gt;0,$R$4*MAX(O182-V182,0),0),0)/I182,2),0))</f>
        <v>0</v>
      </c>
      <c r="AI182" s="86">
        <f>IF(Y182="No",0,IFERROR(ROUNDDOWN(INDEX('90% of ACR'!R:R,MATCH(H:H,'90% of ACR'!A:A,0))*IF(J182&gt;0,IF(P182&gt;0,$R$4*MAX(P182-W182,0),0),0)/J182,2),0))</f>
        <v>0.42</v>
      </c>
      <c r="AJ182" s="45">
        <f t="shared" si="68"/>
        <v>0</v>
      </c>
      <c r="AK182" s="45">
        <f t="shared" si="68"/>
        <v>65587908.402164802</v>
      </c>
      <c r="AL182" s="47">
        <f t="shared" si="69"/>
        <v>1.6</v>
      </c>
      <c r="AM182" s="47">
        <f t="shared" si="69"/>
        <v>0.42</v>
      </c>
      <c r="AN182" s="87">
        <f>IFERROR(INDEX(FeeCalc!P:P,MATCH(C182,FeeCalc!F:F,0)),0)</f>
        <v>324422446.06288707</v>
      </c>
      <c r="AO182" s="87">
        <f>IFERROR(INDEX(FeeCalc!S:S,MATCH(C182,FeeCalc!F:F,0)),0)</f>
        <v>19795171.999921829</v>
      </c>
      <c r="AP182" s="87">
        <f t="shared" si="70"/>
        <v>344217618.06280887</v>
      </c>
      <c r="AQ182" s="72">
        <f t="shared" si="71"/>
        <v>146062550.30782786</v>
      </c>
      <c r="AR182" s="72">
        <f t="shared" si="72"/>
        <v>73031275.15391393</v>
      </c>
      <c r="AS182" s="72">
        <f t="shared" si="73"/>
        <v>73031275.15391393</v>
      </c>
      <c r="AT182" s="72">
        <f>IFERROR(IFERROR(INDEX('2023 IP UPL Data'!L:L,MATCH(A:A,'2023 IP UPL Data'!B:B,0)),INDEX('2023 IMD UPL Data'!I:I,MATCH(A:A,'2023 IMD UPL Data'!B:B,0))),0)</f>
        <v>151024749.95104897</v>
      </c>
      <c r="AU182" s="72">
        <f>IFERROR(IF(F180="IMD",0,INDEX('2023 OP UPL Data'!J:J,MATCH(A:A,'2023 OP UPL Data'!B:B,0))),0)</f>
        <v>116994401.4965035</v>
      </c>
      <c r="AV182" s="45">
        <f t="shared" si="74"/>
        <v>268019151.44755247</v>
      </c>
      <c r="AW182" s="72">
        <f>IFERROR(IFERROR(INDEX('2023 IP UPL Data'!M:M,MATCH(A:A,'2023 IP UPL Data'!B:B,0)),INDEX('2023 IMD UPL Data'!K:K,MATCH(A:A,'2023 IMD UPL Data'!B:B,0))),0)</f>
        <v>438081285.62</v>
      </c>
      <c r="AX182" s="72">
        <f>IFERROR(IF(F180="IMD",0,INDEX('2023 OP UPL Data'!L:L,MATCH(A:A,'2023 OP UPL Data'!B:B,0))),0)</f>
        <v>117547373.3</v>
      </c>
      <c r="AY182" s="45">
        <f t="shared" si="75"/>
        <v>555628658.91999996</v>
      </c>
      <c r="AZ182" s="72">
        <v>348068683.19608265</v>
      </c>
      <c r="BA182" s="72">
        <v>212921128.43185982</v>
      </c>
      <c r="BB182" s="72">
        <f t="shared" si="76"/>
        <v>89234145.535360396</v>
      </c>
      <c r="BC182" s="72">
        <f t="shared" si="76"/>
        <v>212921128.43185982</v>
      </c>
      <c r="BD182" s="72">
        <f t="shared" si="77"/>
        <v>302155273.96722019</v>
      </c>
      <c r="BE182" s="94">
        <f t="shared" si="78"/>
        <v>0</v>
      </c>
      <c r="BF182" s="94">
        <f t="shared" si="78"/>
        <v>95373755.131859824</v>
      </c>
      <c r="BG182" s="73">
        <f>IFERROR(INDEX('2023 IP UPL Data'!K:K,MATCH(A182,'2023 IP UPL Data'!B:B,0)),0)</f>
        <v>0</v>
      </c>
    </row>
    <row r="183" spans="1:59">
      <c r="A183" s="124" t="s">
        <v>58</v>
      </c>
      <c r="B183" s="149" t="s">
        <v>58</v>
      </c>
      <c r="C183" s="31" t="s">
        <v>59</v>
      </c>
      <c r="D183" s="150" t="s">
        <v>59</v>
      </c>
      <c r="E183" s="144" t="s">
        <v>3094</v>
      </c>
      <c r="F183" s="120" t="s">
        <v>1552</v>
      </c>
      <c r="G183" s="120" t="s">
        <v>223</v>
      </c>
      <c r="H183" s="43" t="str">
        <f t="shared" si="58"/>
        <v>Children's Dallas</v>
      </c>
      <c r="I183" s="45">
        <f>INDEX(FeeCalc!M:M,MATCH(C:C,FeeCalc!F:F,0))</f>
        <v>16684424.605038654</v>
      </c>
      <c r="J183" s="45">
        <f>INDEX(FeeCalc!L:L,MATCH(C:C,FeeCalc!F:F,0))</f>
        <v>36102199.551224798</v>
      </c>
      <c r="K183" s="45">
        <f t="shared" si="59"/>
        <v>52786624.156263456</v>
      </c>
      <c r="L183" s="45">
        <f>IFERROR(IFERROR(INDEX('2023 IP UPL Data'!N:N,MATCH(A:A,'2023 IP UPL Data'!B:B,0)),INDEX('2023 IMD UPL Data'!M:M,MATCH(A:A,'2023 IMD UPL Data'!B:B,0))),0)</f>
        <v>9736210.8006293699</v>
      </c>
      <c r="M183" s="45">
        <f>IFERROR((IF(F183="IMD",0,INDEX('2023 OP UPL Data'!M:M,MATCH(A:A,'2023 OP UPL Data'!B:B,0)))),0)</f>
        <v>-3653370.8040559441</v>
      </c>
      <c r="N183" s="45">
        <f t="shared" si="60"/>
        <v>6082839.9965734258</v>
      </c>
      <c r="O183" s="45">
        <v>8892263.9698990695</v>
      </c>
      <c r="P183" s="45">
        <v>22094524.581953652</v>
      </c>
      <c r="Q183" s="45">
        <f t="shared" si="61"/>
        <v>30986788.551852722</v>
      </c>
      <c r="R183" s="45" t="str">
        <f t="shared" si="62"/>
        <v>Yes</v>
      </c>
      <c r="S183" s="46" t="str">
        <f t="shared" si="62"/>
        <v>Yes</v>
      </c>
      <c r="T183" s="47">
        <f>ROUND(INDEX(Summary!H:H,MATCH(H:H,Summary!A:A,0)),2)</f>
        <v>1.6</v>
      </c>
      <c r="U183" s="47">
        <f>ROUND(INDEX(Summary!I:I,MATCH(H:H,Summary!A:A,0)),2)</f>
        <v>0</v>
      </c>
      <c r="V183" s="85">
        <f t="shared" si="63"/>
        <v>26695079.368061848</v>
      </c>
      <c r="W183" s="85">
        <f t="shared" si="63"/>
        <v>0</v>
      </c>
      <c r="X183" s="45">
        <f t="shared" si="64"/>
        <v>26695079.368061848</v>
      </c>
      <c r="Y183" s="45" t="s">
        <v>3223</v>
      </c>
      <c r="Z183" s="45" t="str">
        <f t="shared" si="65"/>
        <v>No</v>
      </c>
      <c r="AA183" s="45" t="str">
        <f t="shared" si="65"/>
        <v>Yes</v>
      </c>
      <c r="AB183" s="45" t="str">
        <f t="shared" si="66"/>
        <v>Yes</v>
      </c>
      <c r="AC183" s="86">
        <f t="shared" si="79"/>
        <v>0</v>
      </c>
      <c r="AD183" s="86">
        <f t="shared" si="80"/>
        <v>0.43</v>
      </c>
      <c r="AE183" s="45">
        <f t="shared" si="81"/>
        <v>0</v>
      </c>
      <c r="AF183" s="45">
        <f t="shared" si="81"/>
        <v>15523945.807026664</v>
      </c>
      <c r="AG183" s="45">
        <f t="shared" si="67"/>
        <v>15523945.807026664</v>
      </c>
      <c r="AH183" s="47">
        <f>IF(Y183="No",0,IFERROR(ROUNDDOWN(INDEX('90% of ACR'!K:K,MATCH(H:H,'90% of ACR'!A:A,0))*IF(I183&gt;0,IF(O183&gt;0,$R$4*MAX(O183-V183,0),0),0)/I183,2),0))</f>
        <v>0</v>
      </c>
      <c r="AI183" s="86">
        <f>IF(Y183="No",0,IFERROR(ROUNDDOWN(INDEX('90% of ACR'!R:R,MATCH(H:H,'90% of ACR'!A:A,0))*IF(J183&gt;0,IF(P183&gt;0,$R$4*MAX(P183-W183,0),0),0)/J183,2),0))</f>
        <v>0.42</v>
      </c>
      <c r="AJ183" s="45">
        <f t="shared" si="68"/>
        <v>0</v>
      </c>
      <c r="AK183" s="45">
        <f t="shared" si="68"/>
        <v>15162923.811514415</v>
      </c>
      <c r="AL183" s="47">
        <f t="shared" si="69"/>
        <v>1.6</v>
      </c>
      <c r="AM183" s="47">
        <f t="shared" si="69"/>
        <v>0.42</v>
      </c>
      <c r="AN183" s="87">
        <f>IFERROR(INDEX(FeeCalc!P:P,MATCH(C183,FeeCalc!F:F,0)),0)</f>
        <v>41858003.179576263</v>
      </c>
      <c r="AO183" s="87">
        <f>IFERROR(INDEX(FeeCalc!S:S,MATCH(C183,FeeCalc!F:F,0)),0)</f>
        <v>2553711.0069939909</v>
      </c>
      <c r="AP183" s="87">
        <f t="shared" si="70"/>
        <v>44411714.186570257</v>
      </c>
      <c r="AQ183" s="72">
        <f t="shared" si="71"/>
        <v>18845311.504215732</v>
      </c>
      <c r="AR183" s="72">
        <f t="shared" si="72"/>
        <v>9422655.7521078661</v>
      </c>
      <c r="AS183" s="72">
        <f t="shared" si="73"/>
        <v>9422655.7521078661</v>
      </c>
      <c r="AT183" s="72">
        <f>IFERROR(IFERROR(INDEX('2023 IP UPL Data'!L:L,MATCH(A:A,'2023 IP UPL Data'!B:B,0)),INDEX('2023 IMD UPL Data'!I:I,MATCH(A:A,'2023 IMD UPL Data'!B:B,0))),0)</f>
        <v>9674609.6293706298</v>
      </c>
      <c r="AU183" s="72">
        <f>IFERROR(IF(F181="IMD",0,INDEX('2023 OP UPL Data'!J:J,MATCH(A:A,'2023 OP UPL Data'!B:B,0))),0)</f>
        <v>24374120.944055945</v>
      </c>
      <c r="AV183" s="45">
        <f t="shared" si="74"/>
        <v>34048730.573426574</v>
      </c>
      <c r="AW183" s="72">
        <f>IFERROR(IFERROR(INDEX('2023 IP UPL Data'!M:M,MATCH(A:A,'2023 IP UPL Data'!B:B,0)),INDEX('2023 IMD UPL Data'!K:K,MATCH(A:A,'2023 IMD UPL Data'!B:B,0))),0)</f>
        <v>19410820.43</v>
      </c>
      <c r="AX183" s="72">
        <f>IFERROR(IF(F181="IMD",0,INDEX('2023 OP UPL Data'!L:L,MATCH(A:A,'2023 OP UPL Data'!B:B,0))),0)</f>
        <v>20720750.140000001</v>
      </c>
      <c r="AY183" s="45">
        <f t="shared" si="75"/>
        <v>40131570.57</v>
      </c>
      <c r="AZ183" s="72">
        <v>18566873.599269699</v>
      </c>
      <c r="BA183" s="72">
        <v>46468645.526009597</v>
      </c>
      <c r="BB183" s="72">
        <f t="shared" si="76"/>
        <v>0</v>
      </c>
      <c r="BC183" s="72">
        <f t="shared" si="76"/>
        <v>46468645.526009597</v>
      </c>
      <c r="BD183" s="72">
        <f t="shared" si="77"/>
        <v>38340439.757217444</v>
      </c>
      <c r="BE183" s="94">
        <f t="shared" si="78"/>
        <v>0</v>
      </c>
      <c r="BF183" s="94">
        <f t="shared" si="78"/>
        <v>25747895.386009596</v>
      </c>
      <c r="BG183" s="73">
        <f>IFERROR(INDEX('2023 IP UPL Data'!K:K,MATCH(A183,'2023 IP UPL Data'!B:B,0)),0)</f>
        <v>0</v>
      </c>
    </row>
    <row r="184" spans="1:59" ht="25.5">
      <c r="A184" s="124" t="s">
        <v>1215</v>
      </c>
      <c r="B184" s="149" t="s">
        <v>1215</v>
      </c>
      <c r="C184" s="31" t="s">
        <v>1216</v>
      </c>
      <c r="D184" s="181" t="s">
        <v>1216</v>
      </c>
      <c r="E184" s="144" t="s">
        <v>3322</v>
      </c>
      <c r="F184" s="120" t="s">
        <v>3069</v>
      </c>
      <c r="G184" s="120" t="s">
        <v>227</v>
      </c>
      <c r="H184" s="43" t="str">
        <f t="shared" si="58"/>
        <v>Non-state-owned IMD MRSA West</v>
      </c>
      <c r="I184" s="45">
        <f>INDEX(FeeCalc!M:M,MATCH(C:C,FeeCalc!F:F,0))</f>
        <v>1144442.0445815083</v>
      </c>
      <c r="J184" s="45">
        <f>INDEX(FeeCalc!L:L,MATCH(C:C,FeeCalc!F:F,0))</f>
        <v>0</v>
      </c>
      <c r="K184" s="45">
        <f t="shared" si="59"/>
        <v>1144442.0445815083</v>
      </c>
      <c r="L184" s="45">
        <f>IFERROR(IFERROR(INDEX('2023 IP UPL Data'!N:N,MATCH(A:A,'2023 IP UPL Data'!B:B,0)),INDEX('2023 IMD UPL Data'!M:M,MATCH(A:A,'2023 IMD UPL Data'!B:B,0))),0)</f>
        <v>322383.38</v>
      </c>
      <c r="M184" s="45">
        <f>IFERROR((IF(F184="IMD",0,INDEX('2023 OP UPL Data'!M:M,MATCH(A:A,'2023 OP UPL Data'!B:B,0)))),0)</f>
        <v>0</v>
      </c>
      <c r="N184" s="45">
        <f t="shared" si="60"/>
        <v>322383.38</v>
      </c>
      <c r="O184" s="45">
        <v>255059.76461285172</v>
      </c>
      <c r="P184" s="45">
        <v>0</v>
      </c>
      <c r="Q184" s="45">
        <f t="shared" si="61"/>
        <v>255059.76461285172</v>
      </c>
      <c r="R184" s="45" t="str">
        <f t="shared" si="62"/>
        <v>Yes</v>
      </c>
      <c r="S184" s="46" t="str">
        <f t="shared" si="62"/>
        <v>No</v>
      </c>
      <c r="T184" s="47">
        <f>ROUND(INDEX(Summary!H:H,MATCH(H:H,Summary!A:A,0)),2)</f>
        <v>0.34</v>
      </c>
      <c r="U184" s="47">
        <f>ROUND(INDEX(Summary!I:I,MATCH(H:H,Summary!A:A,0)),2)</f>
        <v>0</v>
      </c>
      <c r="V184" s="85">
        <f t="shared" si="63"/>
        <v>389110.29515771283</v>
      </c>
      <c r="W184" s="85">
        <f t="shared" si="63"/>
        <v>0</v>
      </c>
      <c r="X184" s="45">
        <f t="shared" si="64"/>
        <v>389110.29515771283</v>
      </c>
      <c r="Y184" s="45" t="s">
        <v>3224</v>
      </c>
      <c r="Z184" s="45" t="str">
        <f t="shared" si="65"/>
        <v>No</v>
      </c>
      <c r="AA184" s="45" t="str">
        <f t="shared" si="65"/>
        <v>No</v>
      </c>
      <c r="AB184" s="45" t="str">
        <f t="shared" si="66"/>
        <v>No</v>
      </c>
      <c r="AC184" s="86">
        <f t="shared" si="79"/>
        <v>0</v>
      </c>
      <c r="AD184" s="86">
        <f t="shared" si="80"/>
        <v>0</v>
      </c>
      <c r="AE184" s="45">
        <f t="shared" si="81"/>
        <v>0</v>
      </c>
      <c r="AF184" s="45">
        <f t="shared" si="81"/>
        <v>0</v>
      </c>
      <c r="AG184" s="45">
        <f t="shared" si="67"/>
        <v>0</v>
      </c>
      <c r="AH184" s="47">
        <f>IF(Y184="No",0,IFERROR(ROUNDDOWN(INDEX('90% of ACR'!K:K,MATCH(H:H,'90% of ACR'!A:A,0))*IF(I184&gt;0,IF(O184&gt;0,$R$4*MAX(O184-V184,0),0),0)/I184,2),0))</f>
        <v>0</v>
      </c>
      <c r="AI184" s="86">
        <f>IF(Y184="No",0,IFERROR(ROUNDDOWN(INDEX('90% of ACR'!R:R,MATCH(H:H,'90% of ACR'!A:A,0))*IF(J184&gt;0,IF(P184&gt;0,$R$4*MAX(P184-W184,0),0),0)/J184,2),0))</f>
        <v>0</v>
      </c>
      <c r="AJ184" s="45">
        <f t="shared" si="68"/>
        <v>0</v>
      </c>
      <c r="AK184" s="45">
        <f t="shared" si="68"/>
        <v>0</v>
      </c>
      <c r="AL184" s="47">
        <f t="shared" si="69"/>
        <v>0.34</v>
      </c>
      <c r="AM184" s="47">
        <f t="shared" si="69"/>
        <v>0</v>
      </c>
      <c r="AN184" s="87">
        <f>IFERROR(INDEX(FeeCalc!P:P,MATCH(C184,FeeCalc!F:F,0)),0)</f>
        <v>389110.29515771283</v>
      </c>
      <c r="AO184" s="87">
        <f>IFERROR(INDEX(FeeCalc!S:S,MATCH(C184,FeeCalc!F:F,0)),0)</f>
        <v>23738.824373016963</v>
      </c>
      <c r="AP184" s="87">
        <f t="shared" si="70"/>
        <v>412849.11953072977</v>
      </c>
      <c r="AQ184" s="72">
        <f t="shared" si="71"/>
        <v>175185.09258871365</v>
      </c>
      <c r="AR184" s="72">
        <f t="shared" si="72"/>
        <v>87592.546294356827</v>
      </c>
      <c r="AS184" s="72">
        <f t="shared" si="73"/>
        <v>87592.546294356827</v>
      </c>
      <c r="AT184" s="72">
        <f>IFERROR(IFERROR(INDEX('2023 IP UPL Data'!L:L,MATCH(A:A,'2023 IP UPL Data'!B:B,0)),INDEX('2023 IMD UPL Data'!I:I,MATCH(A:A,'2023 IMD UPL Data'!B:B,0))),0)</f>
        <v>513088.29</v>
      </c>
      <c r="AU184" s="72">
        <f>IFERROR(IF(F182="IMD",0,INDEX('2023 OP UPL Data'!J:J,MATCH(A:A,'2023 OP UPL Data'!B:B,0))),0)</f>
        <v>0</v>
      </c>
      <c r="AV184" s="45">
        <f t="shared" si="74"/>
        <v>513088.29</v>
      </c>
      <c r="AW184" s="72">
        <f>IFERROR(IFERROR(INDEX('2023 IP UPL Data'!M:M,MATCH(A:A,'2023 IP UPL Data'!B:B,0)),INDEX('2023 IMD UPL Data'!K:K,MATCH(A:A,'2023 IMD UPL Data'!B:B,0))),0)</f>
        <v>322383.38</v>
      </c>
      <c r="AX184" s="72">
        <f>IFERROR(IF(F182="IMD",0,INDEX('2023 OP UPL Data'!L:L,MATCH(A:A,'2023 OP UPL Data'!B:B,0))),0)</f>
        <v>0</v>
      </c>
      <c r="AY184" s="45">
        <f t="shared" si="75"/>
        <v>322383.38</v>
      </c>
      <c r="AZ184" s="72">
        <v>768148.0546128517</v>
      </c>
      <c r="BA184" s="72">
        <v>0</v>
      </c>
      <c r="BB184" s="72">
        <f t="shared" si="76"/>
        <v>379037.75945513888</v>
      </c>
      <c r="BC184" s="72">
        <f t="shared" si="76"/>
        <v>0</v>
      </c>
      <c r="BD184" s="72">
        <f t="shared" si="77"/>
        <v>379037.75945513888</v>
      </c>
      <c r="BE184" s="94">
        <f t="shared" si="78"/>
        <v>445764.6746128517</v>
      </c>
      <c r="BF184" s="94">
        <f t="shared" si="78"/>
        <v>0</v>
      </c>
      <c r="BG184" s="73">
        <f>IFERROR(INDEX('2023 IP UPL Data'!K:K,MATCH(A184,'2023 IP UPL Data'!B:B,0)),0)</f>
        <v>0</v>
      </c>
    </row>
    <row r="185" spans="1:59" ht="25.5">
      <c r="A185" s="124" t="s">
        <v>1283</v>
      </c>
      <c r="B185" s="149" t="s">
        <v>1283</v>
      </c>
      <c r="C185" s="31" t="s">
        <v>1284</v>
      </c>
      <c r="D185" s="181" t="s">
        <v>1284</v>
      </c>
      <c r="E185" s="144" t="s">
        <v>3321</v>
      </c>
      <c r="F185" s="120" t="s">
        <v>3069</v>
      </c>
      <c r="G185" s="120" t="s">
        <v>227</v>
      </c>
      <c r="H185" s="43" t="str">
        <f t="shared" si="58"/>
        <v>Non-state-owned IMD MRSA West</v>
      </c>
      <c r="I185" s="45">
        <f>INDEX(FeeCalc!M:M,MATCH(C:C,FeeCalc!F:F,0))</f>
        <v>1117307.8508506345</v>
      </c>
      <c r="J185" s="45">
        <f>INDEX(FeeCalc!L:L,MATCH(C:C,FeeCalc!F:F,0))</f>
        <v>0</v>
      </c>
      <c r="K185" s="45">
        <f t="shared" si="59"/>
        <v>1117307.8508506345</v>
      </c>
      <c r="L185" s="45">
        <f>IFERROR(IFERROR(INDEX('2023 IP UPL Data'!N:N,MATCH(A:A,'2023 IP UPL Data'!B:B,0)),INDEX('2023 IMD UPL Data'!M:M,MATCH(A:A,'2023 IMD UPL Data'!B:B,0))),0)</f>
        <v>662688</v>
      </c>
      <c r="M185" s="45">
        <f>IFERROR((IF(F185="IMD",0,INDEX('2023 OP UPL Data'!M:M,MATCH(A:A,'2023 OP UPL Data'!B:B,0)))),0)</f>
        <v>0</v>
      </c>
      <c r="N185" s="45">
        <f t="shared" si="60"/>
        <v>662688</v>
      </c>
      <c r="O185" s="45">
        <v>592778.30157982279</v>
      </c>
      <c r="P185" s="45">
        <v>0</v>
      </c>
      <c r="Q185" s="45">
        <f t="shared" si="61"/>
        <v>592778.30157982279</v>
      </c>
      <c r="R185" s="45" t="str">
        <f t="shared" si="62"/>
        <v>Yes</v>
      </c>
      <c r="S185" s="46" t="str">
        <f t="shared" si="62"/>
        <v>No</v>
      </c>
      <c r="T185" s="47">
        <f>ROUND(INDEX(Summary!H:H,MATCH(H:H,Summary!A:A,0)),2)</f>
        <v>0.34</v>
      </c>
      <c r="U185" s="47">
        <f>ROUND(INDEX(Summary!I:I,MATCH(H:H,Summary!A:A,0)),2)</f>
        <v>0</v>
      </c>
      <c r="V185" s="85">
        <f t="shared" si="63"/>
        <v>379884.66928921576</v>
      </c>
      <c r="W185" s="85">
        <f t="shared" si="63"/>
        <v>0</v>
      </c>
      <c r="X185" s="45">
        <f t="shared" si="64"/>
        <v>379884.66928921576</v>
      </c>
      <c r="Y185" s="45" t="s">
        <v>3224</v>
      </c>
      <c r="Z185" s="45" t="str">
        <f t="shared" si="65"/>
        <v>No</v>
      </c>
      <c r="AA185" s="45" t="str">
        <f t="shared" si="65"/>
        <v>No</v>
      </c>
      <c r="AB185" s="45" t="str">
        <f t="shared" si="66"/>
        <v>No</v>
      </c>
      <c r="AC185" s="86">
        <f t="shared" si="79"/>
        <v>0</v>
      </c>
      <c r="AD185" s="86">
        <f t="shared" si="80"/>
        <v>0</v>
      </c>
      <c r="AE185" s="45">
        <f t="shared" si="81"/>
        <v>0</v>
      </c>
      <c r="AF185" s="45">
        <f t="shared" si="81"/>
        <v>0</v>
      </c>
      <c r="AG185" s="45">
        <f t="shared" si="67"/>
        <v>0</v>
      </c>
      <c r="AH185" s="47">
        <f>IF(Y185="No",0,IFERROR(ROUNDDOWN(INDEX('90% of ACR'!K:K,MATCH(H:H,'90% of ACR'!A:A,0))*IF(I185&gt;0,IF(O185&gt;0,$R$4*MAX(O185-V185,0),0),0)/I185,2),0))</f>
        <v>0</v>
      </c>
      <c r="AI185" s="86">
        <f>IF(Y185="No",0,IFERROR(ROUNDDOWN(INDEX('90% of ACR'!R:R,MATCH(H:H,'90% of ACR'!A:A,0))*IF(J185&gt;0,IF(P185&gt;0,$R$4*MAX(P185-W185,0),0),0)/J185,2),0))</f>
        <v>0</v>
      </c>
      <c r="AJ185" s="45">
        <f t="shared" si="68"/>
        <v>0</v>
      </c>
      <c r="AK185" s="45">
        <f t="shared" si="68"/>
        <v>0</v>
      </c>
      <c r="AL185" s="47">
        <f t="shared" si="69"/>
        <v>0.34</v>
      </c>
      <c r="AM185" s="47">
        <f t="shared" si="69"/>
        <v>0</v>
      </c>
      <c r="AN185" s="87">
        <f>IFERROR(INDEX(FeeCalc!P:P,MATCH(C185,FeeCalc!F:F,0)),0)</f>
        <v>379884.66928921576</v>
      </c>
      <c r="AO185" s="87">
        <f>IFERROR(INDEX(FeeCalc!S:S,MATCH(C185,FeeCalc!F:F,0)),0)</f>
        <v>23175.987781570191</v>
      </c>
      <c r="AP185" s="87">
        <f t="shared" si="70"/>
        <v>403060.65707078594</v>
      </c>
      <c r="AQ185" s="72">
        <f t="shared" si="71"/>
        <v>171031.53473616077</v>
      </c>
      <c r="AR185" s="72">
        <f t="shared" si="72"/>
        <v>85515.767368080385</v>
      </c>
      <c r="AS185" s="72">
        <f t="shared" si="73"/>
        <v>85515.767368080385</v>
      </c>
      <c r="AT185" s="72">
        <f>IFERROR(IFERROR(INDEX('2023 IP UPL Data'!L:L,MATCH(A:A,'2023 IP UPL Data'!B:B,0)),INDEX('2023 IMD UPL Data'!I:I,MATCH(A:A,'2023 IMD UPL Data'!B:B,0))),0)</f>
        <v>1291704.96</v>
      </c>
      <c r="AU185" s="72">
        <f>IFERROR(IF(F183="IMD",0,INDEX('2023 OP UPL Data'!J:J,MATCH(A:A,'2023 OP UPL Data'!B:B,0))),0)</f>
        <v>0</v>
      </c>
      <c r="AV185" s="45">
        <f t="shared" si="74"/>
        <v>1291704.96</v>
      </c>
      <c r="AW185" s="72">
        <f>IFERROR(IFERROR(INDEX('2023 IP UPL Data'!M:M,MATCH(A:A,'2023 IP UPL Data'!B:B,0)),INDEX('2023 IMD UPL Data'!K:K,MATCH(A:A,'2023 IMD UPL Data'!B:B,0))),0)</f>
        <v>662688</v>
      </c>
      <c r="AX185" s="72">
        <f>IFERROR(IF(F183="IMD",0,INDEX('2023 OP UPL Data'!L:L,MATCH(A:A,'2023 OP UPL Data'!B:B,0))),0)</f>
        <v>0</v>
      </c>
      <c r="AY185" s="45">
        <f t="shared" si="75"/>
        <v>662688</v>
      </c>
      <c r="AZ185" s="72">
        <v>1884483.2615798227</v>
      </c>
      <c r="BA185" s="72">
        <v>0</v>
      </c>
      <c r="BB185" s="72">
        <f t="shared" si="76"/>
        <v>1504598.592290607</v>
      </c>
      <c r="BC185" s="72">
        <f t="shared" si="76"/>
        <v>0</v>
      </c>
      <c r="BD185" s="72">
        <f t="shared" si="77"/>
        <v>1504598.592290607</v>
      </c>
      <c r="BE185" s="94">
        <f t="shared" si="78"/>
        <v>1221795.2615798227</v>
      </c>
      <c r="BF185" s="94">
        <f t="shared" si="78"/>
        <v>0</v>
      </c>
      <c r="BG185" s="73">
        <f>IFERROR(INDEX('2023 IP UPL Data'!K:K,MATCH(A185,'2023 IP UPL Data'!B:B,0)),0)</f>
        <v>0</v>
      </c>
    </row>
    <row r="186" spans="1:59">
      <c r="A186" s="124" t="s">
        <v>1053</v>
      </c>
      <c r="B186" s="149" t="s">
        <v>1053</v>
      </c>
      <c r="C186" s="31" t="s">
        <v>1054</v>
      </c>
      <c r="D186" s="181" t="s">
        <v>1054</v>
      </c>
      <c r="E186" s="144" t="s">
        <v>3513</v>
      </c>
      <c r="F186" s="120" t="s">
        <v>2768</v>
      </c>
      <c r="G186" s="120" t="s">
        <v>1517</v>
      </c>
      <c r="H186" s="43" t="str">
        <f t="shared" si="58"/>
        <v>Rural Hidalgo</v>
      </c>
      <c r="I186" s="45">
        <f>INDEX(FeeCalc!M:M,MATCH(C:C,FeeCalc!F:F,0))</f>
        <v>1092967.3775757896</v>
      </c>
      <c r="J186" s="45">
        <f>INDEX(FeeCalc!L:L,MATCH(C:C,FeeCalc!F:F,0))</f>
        <v>3011787.3491339772</v>
      </c>
      <c r="K186" s="45">
        <f t="shared" si="59"/>
        <v>4104754.7267097668</v>
      </c>
      <c r="L186" s="45">
        <f>IFERROR(IFERROR(INDEX('2023 IP UPL Data'!N:N,MATCH(A:A,'2023 IP UPL Data'!B:B,0)),INDEX('2023 IMD UPL Data'!M:M,MATCH(A:A,'2023 IMD UPL Data'!B:B,0))),0)</f>
        <v>-180436.83608703269</v>
      </c>
      <c r="M186" s="45">
        <f>IFERROR((IF(F186="IMD",0,INDEX('2023 OP UPL Data'!M:M,MATCH(A:A,'2023 OP UPL Data'!B:B,0)))),0)</f>
        <v>-25711.35975609743</v>
      </c>
      <c r="N186" s="45">
        <f t="shared" si="60"/>
        <v>-206148.19584313012</v>
      </c>
      <c r="O186" s="45">
        <v>-281924.80837749771</v>
      </c>
      <c r="P186" s="45">
        <v>-181680.57760515111</v>
      </c>
      <c r="Q186" s="45">
        <f t="shared" si="61"/>
        <v>-463605.38598264882</v>
      </c>
      <c r="R186" s="45" t="str">
        <f t="shared" si="62"/>
        <v>No</v>
      </c>
      <c r="S186" s="46" t="str">
        <f t="shared" si="62"/>
        <v>No</v>
      </c>
      <c r="T186" s="47">
        <f>ROUND(INDEX(Summary!H:H,MATCH(H:H,Summary!A:A,0)),2)</f>
        <v>0</v>
      </c>
      <c r="U186" s="47">
        <f>ROUND(INDEX(Summary!I:I,MATCH(H:H,Summary!A:A,0)),2)</f>
        <v>7.0000000000000007E-2</v>
      </c>
      <c r="V186" s="85">
        <f t="shared" si="63"/>
        <v>0</v>
      </c>
      <c r="W186" s="85">
        <f t="shared" si="63"/>
        <v>210825.11443937843</v>
      </c>
      <c r="X186" s="45">
        <f t="shared" si="64"/>
        <v>210825.11443937843</v>
      </c>
      <c r="Y186" s="45" t="s">
        <v>3223</v>
      </c>
      <c r="Z186" s="45" t="str">
        <f t="shared" si="65"/>
        <v>No</v>
      </c>
      <c r="AA186" s="45" t="str">
        <f t="shared" si="65"/>
        <v>No</v>
      </c>
      <c r="AB186" s="45" t="str">
        <f t="shared" si="66"/>
        <v>No</v>
      </c>
      <c r="AC186" s="86">
        <f t="shared" si="79"/>
        <v>0</v>
      </c>
      <c r="AD186" s="86">
        <f t="shared" si="80"/>
        <v>0</v>
      </c>
      <c r="AE186" s="45">
        <f t="shared" si="81"/>
        <v>0</v>
      </c>
      <c r="AF186" s="45">
        <f t="shared" si="81"/>
        <v>0</v>
      </c>
      <c r="AG186" s="45">
        <f t="shared" si="67"/>
        <v>0</v>
      </c>
      <c r="AH186" s="47">
        <f>IF(Y186="No",0,IFERROR(ROUNDDOWN(INDEX('90% of ACR'!K:K,MATCH(H:H,'90% of ACR'!A:A,0))*IF(I186&gt;0,IF(O186&gt;0,$R$4*MAX(O186-V186,0),0),0)/I186,2),0))</f>
        <v>0</v>
      </c>
      <c r="AI186" s="86">
        <f>IF(Y186="No",0,IFERROR(ROUNDDOWN(INDEX('90% of ACR'!R:R,MATCH(H:H,'90% of ACR'!A:A,0))*IF(J186&gt;0,IF(P186&gt;0,$R$4*MAX(P186-W186,0),0),0)/J186,2),0))</f>
        <v>0</v>
      </c>
      <c r="AJ186" s="45">
        <f t="shared" si="68"/>
        <v>0</v>
      </c>
      <c r="AK186" s="45">
        <f t="shared" si="68"/>
        <v>0</v>
      </c>
      <c r="AL186" s="47">
        <f t="shared" si="69"/>
        <v>0</v>
      </c>
      <c r="AM186" s="47">
        <f t="shared" si="69"/>
        <v>7.0000000000000007E-2</v>
      </c>
      <c r="AN186" s="87">
        <f>IFERROR(INDEX(FeeCalc!P:P,MATCH(C186,FeeCalc!F:F,0)),0)</f>
        <v>210825.11443937843</v>
      </c>
      <c r="AO186" s="87">
        <f>IFERROR(INDEX(FeeCalc!S:S,MATCH(C186,FeeCalc!F:F,0)),0)</f>
        <v>12957.995856046025</v>
      </c>
      <c r="AP186" s="87">
        <f t="shared" si="70"/>
        <v>223783.11029542447</v>
      </c>
      <c r="AQ186" s="72">
        <f t="shared" si="71"/>
        <v>94958.334757878067</v>
      </c>
      <c r="AR186" s="72">
        <f t="shared" si="72"/>
        <v>47479.167378939033</v>
      </c>
      <c r="AS186" s="72">
        <f t="shared" si="73"/>
        <v>47479.167378939033</v>
      </c>
      <c r="AT186" s="72">
        <f>IFERROR(IFERROR(INDEX('2023 IP UPL Data'!L:L,MATCH(A:A,'2023 IP UPL Data'!B:B,0)),INDEX('2023 IMD UPL Data'!I:I,MATCH(A:A,'2023 IMD UPL Data'!B:B,0))),0)</f>
        <v>1229390.4660870326</v>
      </c>
      <c r="AU186" s="72">
        <f>IFERROR(IF(F184="IMD",0,INDEX('2023 OP UPL Data'!J:J,MATCH(A:A,'2023 OP UPL Data'!B:B,0))),0)</f>
        <v>1333079.9997560973</v>
      </c>
      <c r="AV186" s="45">
        <f t="shared" si="74"/>
        <v>2562470.4658431299</v>
      </c>
      <c r="AW186" s="72">
        <f>IFERROR(IFERROR(INDEX('2023 IP UPL Data'!M:M,MATCH(A:A,'2023 IP UPL Data'!B:B,0)),INDEX('2023 IMD UPL Data'!K:K,MATCH(A:A,'2023 IMD UPL Data'!B:B,0))),0)</f>
        <v>1048953.6299999999</v>
      </c>
      <c r="AX186" s="72">
        <f>IFERROR(IF(F184="IMD",0,INDEX('2023 OP UPL Data'!L:L,MATCH(A:A,'2023 OP UPL Data'!B:B,0))),0)</f>
        <v>1307368.6399999999</v>
      </c>
      <c r="AY186" s="45">
        <f t="shared" si="75"/>
        <v>2356322.2699999996</v>
      </c>
      <c r="AZ186" s="72">
        <v>947465.65770953486</v>
      </c>
      <c r="BA186" s="72">
        <v>1151399.4221509462</v>
      </c>
      <c r="BB186" s="72">
        <f t="shared" si="76"/>
        <v>947465.65770953486</v>
      </c>
      <c r="BC186" s="72">
        <f t="shared" si="76"/>
        <v>940574.30771156773</v>
      </c>
      <c r="BD186" s="72">
        <f t="shared" si="77"/>
        <v>1888039.9654211025</v>
      </c>
      <c r="BE186" s="94">
        <f t="shared" si="78"/>
        <v>0</v>
      </c>
      <c r="BF186" s="94">
        <f t="shared" si="78"/>
        <v>0</v>
      </c>
      <c r="BG186" s="73">
        <f>IFERROR(INDEX('2023 IP UPL Data'!K:K,MATCH(A186,'2023 IP UPL Data'!B:B,0)),0)</f>
        <v>0</v>
      </c>
    </row>
    <row r="187" spans="1:59" ht="25.5">
      <c r="A187" s="124" t="s">
        <v>1616</v>
      </c>
      <c r="B187" s="149" t="s">
        <v>1616</v>
      </c>
      <c r="C187" s="31" t="s">
        <v>1618</v>
      </c>
      <c r="D187" s="181" t="s">
        <v>1618</v>
      </c>
      <c r="E187" s="144" t="s">
        <v>3140</v>
      </c>
      <c r="F187" s="120" t="s">
        <v>3388</v>
      </c>
      <c r="G187" s="120" t="s">
        <v>310</v>
      </c>
      <c r="H187" s="43" t="str">
        <f t="shared" si="58"/>
        <v>State-owned non-IMD MRSA Northeast</v>
      </c>
      <c r="I187" s="45">
        <f>INDEX(FeeCalc!M:M,MATCH(C:C,FeeCalc!F:F,0))</f>
        <v>2897767.2483240105</v>
      </c>
      <c r="J187" s="45">
        <f>INDEX(FeeCalc!L:L,MATCH(C:C,FeeCalc!F:F,0))</f>
        <v>6849308.7257672027</v>
      </c>
      <c r="K187" s="45">
        <f t="shared" si="59"/>
        <v>9747075.9740912132</v>
      </c>
      <c r="L187" s="45">
        <f>IFERROR(IFERROR(INDEX('2023 IP UPL Data'!N:N,MATCH(A:A,'2023 IP UPL Data'!B:B,0)),INDEX('2023 IMD UPL Data'!M:M,MATCH(A:A,'2023 IMD UPL Data'!B:B,0))),0)</f>
        <v>833549.57999999984</v>
      </c>
      <c r="M187" s="45">
        <f>IFERROR((IF(F187="IMD",0,INDEX('2023 OP UPL Data'!M:M,MATCH(A:A,'2023 OP UPL Data'!B:B,0)))),0)</f>
        <v>3640364.629999999</v>
      </c>
      <c r="N187" s="45">
        <f t="shared" si="60"/>
        <v>4473914.209999999</v>
      </c>
      <c r="O187" s="45">
        <v>380281.33437732747</v>
      </c>
      <c r="P187" s="45">
        <v>5716328.1120285224</v>
      </c>
      <c r="Q187" s="45">
        <f t="shared" si="61"/>
        <v>6096609.4464058504</v>
      </c>
      <c r="R187" s="45" t="str">
        <f t="shared" si="62"/>
        <v>Yes</v>
      </c>
      <c r="S187" s="46" t="str">
        <f t="shared" si="62"/>
        <v>Yes</v>
      </c>
      <c r="T187" s="47">
        <f>ROUND(INDEX(Summary!H:H,MATCH(H:H,Summary!A:A,0)),2)</f>
        <v>0.28999999999999998</v>
      </c>
      <c r="U187" s="47">
        <f>ROUND(INDEX(Summary!I:I,MATCH(H:H,Summary!A:A,0)),2)</f>
        <v>0.53</v>
      </c>
      <c r="V187" s="85">
        <f t="shared" si="63"/>
        <v>840352.50201396295</v>
      </c>
      <c r="W187" s="85">
        <f t="shared" si="63"/>
        <v>3630133.6246566176</v>
      </c>
      <c r="X187" s="45">
        <f t="shared" si="64"/>
        <v>4470486.1266705804</v>
      </c>
      <c r="Y187" s="45" t="s">
        <v>3223</v>
      </c>
      <c r="Z187" s="45" t="str">
        <f t="shared" si="65"/>
        <v>No</v>
      </c>
      <c r="AA187" s="45" t="str">
        <f t="shared" si="65"/>
        <v>Yes</v>
      </c>
      <c r="AB187" s="45" t="str">
        <f t="shared" si="66"/>
        <v>Yes</v>
      </c>
      <c r="AC187" s="86">
        <f t="shared" si="79"/>
        <v>0</v>
      </c>
      <c r="AD187" s="86">
        <f t="shared" si="80"/>
        <v>0.21</v>
      </c>
      <c r="AE187" s="45">
        <f t="shared" si="81"/>
        <v>0</v>
      </c>
      <c r="AF187" s="45">
        <f t="shared" si="81"/>
        <v>1438354.8324111125</v>
      </c>
      <c r="AG187" s="45">
        <f t="shared" si="67"/>
        <v>1438354.8324111125</v>
      </c>
      <c r="AH187" s="47">
        <f>IF(Y187="No",0,IFERROR(ROUNDDOWN(INDEX('90% of ACR'!K:K,MATCH(H:H,'90% of ACR'!A:A,0))*IF(I187&gt;0,IF(O187&gt;0,$R$4*MAX(O187-V187,0),0),0)/I187,2),0))</f>
        <v>0</v>
      </c>
      <c r="AI187" s="86">
        <f>IF(Y187="No",0,IFERROR(ROUNDDOWN(INDEX('90% of ACR'!R:R,MATCH(H:H,'90% of ACR'!A:A,0))*IF(J187&gt;0,IF(P187&gt;0,$R$4*MAX(P187-W187,0),0),0)/J187,2),0))</f>
        <v>0.14000000000000001</v>
      </c>
      <c r="AJ187" s="45">
        <f t="shared" si="68"/>
        <v>0</v>
      </c>
      <c r="AK187" s="45">
        <f t="shared" si="68"/>
        <v>958903.22160740849</v>
      </c>
      <c r="AL187" s="47">
        <f t="shared" si="69"/>
        <v>0.28999999999999998</v>
      </c>
      <c r="AM187" s="47">
        <f t="shared" si="69"/>
        <v>0.67</v>
      </c>
      <c r="AN187" s="87">
        <f>IFERROR(INDEX(FeeCalc!P:P,MATCH(C187,FeeCalc!F:F,0)),0)</f>
        <v>5429389.3482779888</v>
      </c>
      <c r="AO187" s="87">
        <f>IFERROR(INDEX(FeeCalc!S:S,MATCH(C187,FeeCalc!F:F,0)),0)</f>
        <v>343338.94494162657</v>
      </c>
      <c r="AP187" s="87">
        <f t="shared" si="70"/>
        <v>5772728.2932196157</v>
      </c>
      <c r="AQ187" s="72">
        <f t="shared" si="71"/>
        <v>2449553.3421184663</v>
      </c>
      <c r="AR187" s="72">
        <f t="shared" si="72"/>
        <v>1224776.6710592331</v>
      </c>
      <c r="AS187" s="72">
        <f t="shared" si="73"/>
        <v>1224776.6710592331</v>
      </c>
      <c r="AT187" s="72">
        <f>IFERROR(IFERROR(INDEX('2023 IP UPL Data'!L:L,MATCH(A:A,'2023 IP UPL Data'!B:B,0)),INDEX('2023 IMD UPL Data'!I:I,MATCH(A:A,'2023 IMD UPL Data'!B:B,0))),0)</f>
        <v>1504385.4600000002</v>
      </c>
      <c r="AU187" s="72">
        <f>IFERROR(IF(F185="IMD",0,INDEX('2023 OP UPL Data'!J:J,MATCH(A:A,'2023 OP UPL Data'!B:B,0))),0)</f>
        <v>5361968.9800000004</v>
      </c>
      <c r="AV187" s="45">
        <f t="shared" si="74"/>
        <v>6866354.4400000004</v>
      </c>
      <c r="AW187" s="72">
        <f>IFERROR(IFERROR(INDEX('2023 IP UPL Data'!M:M,MATCH(A:A,'2023 IP UPL Data'!B:B,0)),INDEX('2023 IMD UPL Data'!K:K,MATCH(A:A,'2023 IMD UPL Data'!B:B,0))),0)</f>
        <v>2337935.04</v>
      </c>
      <c r="AX187" s="72">
        <f>IFERROR(IF(F185="IMD",0,INDEX('2023 OP UPL Data'!L:L,MATCH(A:A,'2023 OP UPL Data'!B:B,0))),0)</f>
        <v>9002333.6099999994</v>
      </c>
      <c r="AY187" s="45">
        <f t="shared" si="75"/>
        <v>11340268.649999999</v>
      </c>
      <c r="AZ187" s="72">
        <v>1884666.7943773277</v>
      </c>
      <c r="BA187" s="72">
        <v>11078297.092028523</v>
      </c>
      <c r="BB187" s="72">
        <f t="shared" si="76"/>
        <v>1044314.2923633647</v>
      </c>
      <c r="BC187" s="72">
        <f t="shared" si="76"/>
        <v>7448163.4673719052</v>
      </c>
      <c r="BD187" s="72">
        <f t="shared" si="77"/>
        <v>8492477.7597352695</v>
      </c>
      <c r="BE187" s="94">
        <f t="shared" si="78"/>
        <v>0</v>
      </c>
      <c r="BF187" s="94">
        <f t="shared" si="78"/>
        <v>2075963.4820285235</v>
      </c>
      <c r="BG187" s="73">
        <f>IFERROR(INDEX('2023 IP UPL Data'!K:K,MATCH(A187,'2023 IP UPL Data'!B:B,0)),0)</f>
        <v>0</v>
      </c>
    </row>
    <row r="188" spans="1:59">
      <c r="A188" s="124" t="s">
        <v>106</v>
      </c>
      <c r="B188" s="149" t="s">
        <v>106</v>
      </c>
      <c r="C188" s="31" t="s">
        <v>107</v>
      </c>
      <c r="D188" s="181" t="s">
        <v>107</v>
      </c>
      <c r="E188" s="144" t="s">
        <v>3514</v>
      </c>
      <c r="F188" s="120" t="s">
        <v>2768</v>
      </c>
      <c r="G188" s="120" t="s">
        <v>227</v>
      </c>
      <c r="H188" s="43" t="str">
        <f t="shared" si="58"/>
        <v>Rural MRSA West</v>
      </c>
      <c r="I188" s="45">
        <f>INDEX(FeeCalc!M:M,MATCH(C:C,FeeCalc!F:F,0))</f>
        <v>207107.30450648977</v>
      </c>
      <c r="J188" s="45">
        <f>INDEX(FeeCalc!L:L,MATCH(C:C,FeeCalc!F:F,0))</f>
        <v>801279.71673848084</v>
      </c>
      <c r="K188" s="45">
        <f t="shared" si="59"/>
        <v>1008387.0212449706</v>
      </c>
      <c r="L188" s="45">
        <f>IFERROR(IFERROR(INDEX('2023 IP UPL Data'!N:N,MATCH(A:A,'2023 IP UPL Data'!B:B,0)),INDEX('2023 IMD UPL Data'!M:M,MATCH(A:A,'2023 IMD UPL Data'!B:B,0))),0)</f>
        <v>47495.070019371909</v>
      </c>
      <c r="M188" s="45">
        <f>IFERROR((IF(F188="IMD",0,INDEX('2023 OP UPL Data'!M:M,MATCH(A:A,'2023 OP UPL Data'!B:B,0)))),0)</f>
        <v>378836.05975000001</v>
      </c>
      <c r="N188" s="45">
        <f t="shared" si="60"/>
        <v>426331.12976937194</v>
      </c>
      <c r="O188" s="45">
        <v>-7651.5006411880167</v>
      </c>
      <c r="P188" s="45">
        <v>264210.76759114605</v>
      </c>
      <c r="Q188" s="45">
        <f t="shared" si="61"/>
        <v>256559.26694995805</v>
      </c>
      <c r="R188" s="45" t="str">
        <f t="shared" si="62"/>
        <v>No</v>
      </c>
      <c r="S188" s="46" t="str">
        <f t="shared" si="62"/>
        <v>Yes</v>
      </c>
      <c r="T188" s="47">
        <f>ROUND(INDEX(Summary!H:H,MATCH(H:H,Summary!A:A,0)),2)</f>
        <v>0</v>
      </c>
      <c r="U188" s="47">
        <f>ROUND(INDEX(Summary!I:I,MATCH(H:H,Summary!A:A,0)),2)</f>
        <v>0.28999999999999998</v>
      </c>
      <c r="V188" s="85">
        <f t="shared" si="63"/>
        <v>0</v>
      </c>
      <c r="W188" s="85">
        <f t="shared" si="63"/>
        <v>232371.11785415944</v>
      </c>
      <c r="X188" s="45">
        <f t="shared" si="64"/>
        <v>232371.11785415944</v>
      </c>
      <c r="Y188" s="45" t="s">
        <v>3223</v>
      </c>
      <c r="Z188" s="45" t="str">
        <f t="shared" si="65"/>
        <v>No</v>
      </c>
      <c r="AA188" s="45" t="str">
        <f t="shared" si="65"/>
        <v>Yes</v>
      </c>
      <c r="AB188" s="45" t="str">
        <f t="shared" si="66"/>
        <v>Yes</v>
      </c>
      <c r="AC188" s="86">
        <f t="shared" si="79"/>
        <v>0</v>
      </c>
      <c r="AD188" s="86">
        <f t="shared" si="80"/>
        <v>0.03</v>
      </c>
      <c r="AE188" s="45">
        <f t="shared" si="81"/>
        <v>0</v>
      </c>
      <c r="AF188" s="45">
        <f t="shared" si="81"/>
        <v>24038.391502154424</v>
      </c>
      <c r="AG188" s="45">
        <f t="shared" si="67"/>
        <v>24038.391502154424</v>
      </c>
      <c r="AH188" s="47">
        <f>IF(Y188="No",0,IFERROR(ROUNDDOWN(INDEX('90% of ACR'!K:K,MATCH(H:H,'90% of ACR'!A:A,0))*IF(I188&gt;0,IF(O188&gt;0,$R$4*MAX(O188-V188,0),0),0)/I188,2),0))</f>
        <v>0</v>
      </c>
      <c r="AI188" s="86">
        <f>IF(Y188="No",0,IFERROR(ROUNDDOWN(INDEX('90% of ACR'!R:R,MATCH(H:H,'90% of ACR'!A:A,0))*IF(J188&gt;0,IF(P188&gt;0,$R$4*MAX(P188-W188,0),0),0)/J188,2),0))</f>
        <v>0.02</v>
      </c>
      <c r="AJ188" s="45">
        <f t="shared" si="68"/>
        <v>0</v>
      </c>
      <c r="AK188" s="45">
        <f t="shared" si="68"/>
        <v>16025.594334769617</v>
      </c>
      <c r="AL188" s="47">
        <f t="shared" si="69"/>
        <v>0</v>
      </c>
      <c r="AM188" s="47">
        <f t="shared" si="69"/>
        <v>0.31</v>
      </c>
      <c r="AN188" s="87">
        <f>IFERROR(INDEX(FeeCalc!P:P,MATCH(C188,FeeCalc!F:F,0)),0)</f>
        <v>248396.71218892906</v>
      </c>
      <c r="AO188" s="87">
        <f>IFERROR(INDEX(FeeCalc!S:S,MATCH(C188,FeeCalc!F:F,0)),0)</f>
        <v>15224.598702459927</v>
      </c>
      <c r="AP188" s="87">
        <f t="shared" si="70"/>
        <v>263621.31089138897</v>
      </c>
      <c r="AQ188" s="72">
        <f t="shared" si="71"/>
        <v>111862.95809316488</v>
      </c>
      <c r="AR188" s="72">
        <f t="shared" si="72"/>
        <v>55931.479046582441</v>
      </c>
      <c r="AS188" s="72">
        <f t="shared" si="73"/>
        <v>55931.479046582441</v>
      </c>
      <c r="AT188" s="72">
        <f>IFERROR(IFERROR(INDEX('2023 IP UPL Data'!L:L,MATCH(A:A,'2023 IP UPL Data'!B:B,0)),INDEX('2023 IMD UPL Data'!I:I,MATCH(A:A,'2023 IMD UPL Data'!B:B,0))),0)</f>
        <v>115550.50998062808</v>
      </c>
      <c r="AU188" s="72">
        <f>IFERROR(IF(F186="IMD",0,INDEX('2023 OP UPL Data'!J:J,MATCH(A:A,'2023 OP UPL Data'!B:B,0))),0)</f>
        <v>358697.15024999995</v>
      </c>
      <c r="AV188" s="45">
        <f t="shared" si="74"/>
        <v>474247.66023062804</v>
      </c>
      <c r="AW188" s="72">
        <f>IFERROR(IFERROR(INDEX('2023 IP UPL Data'!M:M,MATCH(A:A,'2023 IP UPL Data'!B:B,0)),INDEX('2023 IMD UPL Data'!K:K,MATCH(A:A,'2023 IMD UPL Data'!B:B,0))),0)</f>
        <v>163045.57999999999</v>
      </c>
      <c r="AX188" s="72">
        <f>IFERROR(IF(F186="IMD",0,INDEX('2023 OP UPL Data'!L:L,MATCH(A:A,'2023 OP UPL Data'!B:B,0))),0)</f>
        <v>737533.21</v>
      </c>
      <c r="AY188" s="45">
        <f t="shared" si="75"/>
        <v>900578.78999999992</v>
      </c>
      <c r="AZ188" s="72">
        <v>107899.00933944006</v>
      </c>
      <c r="BA188" s="72">
        <v>622907.917841146</v>
      </c>
      <c r="BB188" s="72">
        <f t="shared" si="76"/>
        <v>107899.00933944006</v>
      </c>
      <c r="BC188" s="72">
        <f t="shared" si="76"/>
        <v>390536.79998698656</v>
      </c>
      <c r="BD188" s="72">
        <f t="shared" si="77"/>
        <v>498435.80932642659</v>
      </c>
      <c r="BE188" s="94">
        <f t="shared" si="78"/>
        <v>0</v>
      </c>
      <c r="BF188" s="94">
        <f t="shared" si="78"/>
        <v>0</v>
      </c>
      <c r="BG188" s="73">
        <f>IFERROR(INDEX('2023 IP UPL Data'!K:K,MATCH(A188,'2023 IP UPL Data'!B:B,0)),0)</f>
        <v>0</v>
      </c>
    </row>
    <row r="189" spans="1:59">
      <c r="A189" s="124" t="s">
        <v>3272</v>
      </c>
      <c r="B189" s="149" t="s">
        <v>3272</v>
      </c>
      <c r="C189" s="31" t="s">
        <v>3271</v>
      </c>
      <c r="D189" s="181" t="s">
        <v>3271</v>
      </c>
      <c r="E189" s="144" t="s">
        <v>3515</v>
      </c>
      <c r="F189" s="120" t="s">
        <v>2718</v>
      </c>
      <c r="G189" s="120" t="s">
        <v>1189</v>
      </c>
      <c r="H189" s="43" t="str">
        <f t="shared" si="58"/>
        <v>Urban El Paso</v>
      </c>
      <c r="I189" s="45">
        <f>INDEX(FeeCalc!M:M,MATCH(C:C,FeeCalc!F:F,0))</f>
        <v>0</v>
      </c>
      <c r="J189" s="45">
        <f>INDEX(FeeCalc!L:L,MATCH(C:C,FeeCalc!F:F,0))</f>
        <v>0</v>
      </c>
      <c r="K189" s="45">
        <f t="shared" si="59"/>
        <v>0</v>
      </c>
      <c r="L189" s="45">
        <f>IFERROR(IFERROR(INDEX('2023 IP UPL Data'!N:N,MATCH(A:A,'2023 IP UPL Data'!B:B,0)),INDEX('2023 IMD UPL Data'!M:M,MATCH(A:A,'2023 IMD UPL Data'!B:B,0))),0)</f>
        <v>0</v>
      </c>
      <c r="M189" s="45">
        <f>IFERROR((IF(F189="IMD",0,INDEX('2023 OP UPL Data'!M:M,MATCH(A:A,'2023 OP UPL Data'!B:B,0)))),0)</f>
        <v>0</v>
      </c>
      <c r="N189" s="45">
        <f t="shared" si="60"/>
        <v>0</v>
      </c>
      <c r="O189" s="45">
        <v>0</v>
      </c>
      <c r="P189" s="45">
        <v>0</v>
      </c>
      <c r="Q189" s="45">
        <f t="shared" si="61"/>
        <v>0</v>
      </c>
      <c r="R189" s="45" t="str">
        <f t="shared" si="62"/>
        <v>No</v>
      </c>
      <c r="S189" s="46" t="str">
        <f t="shared" si="62"/>
        <v>No</v>
      </c>
      <c r="T189" s="47">
        <f>ROUND(INDEX(Summary!H:H,MATCH(H:H,Summary!A:A,0)),2)</f>
        <v>0.48</v>
      </c>
      <c r="U189" s="47">
        <f>ROUND(INDEX(Summary!I:I,MATCH(H:H,Summary!A:A,0)),2)</f>
        <v>0.92</v>
      </c>
      <c r="V189" s="85">
        <f t="shared" si="63"/>
        <v>0</v>
      </c>
      <c r="W189" s="85">
        <f t="shared" si="63"/>
        <v>0</v>
      </c>
      <c r="X189" s="45">
        <f t="shared" si="64"/>
        <v>0</v>
      </c>
      <c r="Y189" s="45" t="s">
        <v>3223</v>
      </c>
      <c r="Z189" s="45" t="str">
        <f t="shared" si="65"/>
        <v>No</v>
      </c>
      <c r="AA189" s="45" t="str">
        <f t="shared" si="65"/>
        <v>No</v>
      </c>
      <c r="AB189" s="45" t="str">
        <f t="shared" si="66"/>
        <v>No</v>
      </c>
      <c r="AC189" s="86">
        <f t="shared" si="79"/>
        <v>0</v>
      </c>
      <c r="AD189" s="86">
        <f t="shared" si="80"/>
        <v>0</v>
      </c>
      <c r="AE189" s="45">
        <f t="shared" si="81"/>
        <v>0</v>
      </c>
      <c r="AF189" s="45">
        <f t="shared" si="81"/>
        <v>0</v>
      </c>
      <c r="AG189" s="45">
        <f t="shared" si="67"/>
        <v>0</v>
      </c>
      <c r="AH189" s="47">
        <f>IF(Y189="No",0,IFERROR(ROUNDDOWN(INDEX('90% of ACR'!K:K,MATCH(H:H,'90% of ACR'!A:A,0))*IF(I189&gt;0,IF(O189&gt;0,$R$4*MAX(O189-V189,0),0),0)/I189,2),0))</f>
        <v>0</v>
      </c>
      <c r="AI189" s="86">
        <f>IF(Y189="No",0,IFERROR(ROUNDDOWN(INDEX('90% of ACR'!R:R,MATCH(H:H,'90% of ACR'!A:A,0))*IF(J189&gt;0,IF(P189&gt;0,$R$4*MAX(P189-W189,0),0),0)/J189,2),0))</f>
        <v>0</v>
      </c>
      <c r="AJ189" s="45">
        <f t="shared" si="68"/>
        <v>0</v>
      </c>
      <c r="AK189" s="45">
        <f t="shared" si="68"/>
        <v>0</v>
      </c>
      <c r="AL189" s="47">
        <f t="shared" si="69"/>
        <v>0.48</v>
      </c>
      <c r="AM189" s="47">
        <f t="shared" si="69"/>
        <v>0.92</v>
      </c>
      <c r="AN189" s="87">
        <f>IFERROR(INDEX(FeeCalc!P:P,MATCH(C189,FeeCalc!F:F,0)),0)</f>
        <v>0</v>
      </c>
      <c r="AO189" s="87">
        <f>IFERROR(INDEX(FeeCalc!S:S,MATCH(C189,FeeCalc!F:F,0)),0)</f>
        <v>0</v>
      </c>
      <c r="AP189" s="87">
        <f t="shared" si="70"/>
        <v>0</v>
      </c>
      <c r="AQ189" s="72">
        <f t="shared" si="71"/>
        <v>0</v>
      </c>
      <c r="AR189" s="72">
        <f t="shared" si="72"/>
        <v>0</v>
      </c>
      <c r="AS189" s="72">
        <f t="shared" si="73"/>
        <v>0</v>
      </c>
      <c r="AT189" s="72">
        <f>IFERROR(IFERROR(INDEX('2023 IP UPL Data'!L:L,MATCH(A:A,'2023 IP UPL Data'!B:B,0)),INDEX('2023 IMD UPL Data'!I:I,MATCH(A:A,'2023 IMD UPL Data'!B:B,0))),0)</f>
        <v>0</v>
      </c>
      <c r="AU189" s="72">
        <f>IFERROR(IF(F187="IMD",0,INDEX('2023 OP UPL Data'!J:J,MATCH(A:A,'2023 OP UPL Data'!B:B,0))),0)</f>
        <v>0</v>
      </c>
      <c r="AV189" s="45">
        <f t="shared" si="74"/>
        <v>0</v>
      </c>
      <c r="AW189" s="72">
        <f>IFERROR(IFERROR(INDEX('2023 IP UPL Data'!M:M,MATCH(A:A,'2023 IP UPL Data'!B:B,0)),INDEX('2023 IMD UPL Data'!K:K,MATCH(A:A,'2023 IMD UPL Data'!B:B,0))),0)</f>
        <v>0</v>
      </c>
      <c r="AX189" s="72">
        <f>IFERROR(IF(F187="IMD",0,INDEX('2023 OP UPL Data'!L:L,MATCH(A:A,'2023 OP UPL Data'!B:B,0))),0)</f>
        <v>0</v>
      </c>
      <c r="AY189" s="45">
        <f t="shared" si="75"/>
        <v>0</v>
      </c>
      <c r="AZ189" s="72">
        <v>0</v>
      </c>
      <c r="BA189" s="72">
        <v>0</v>
      </c>
      <c r="BB189" s="72">
        <f t="shared" si="76"/>
        <v>0</v>
      </c>
      <c r="BC189" s="72">
        <f t="shared" si="76"/>
        <v>0</v>
      </c>
      <c r="BD189" s="72">
        <f t="shared" si="77"/>
        <v>0</v>
      </c>
      <c r="BE189" s="94">
        <f t="shared" si="78"/>
        <v>0</v>
      </c>
      <c r="BF189" s="94">
        <f t="shared" si="78"/>
        <v>0</v>
      </c>
      <c r="BG189" s="73">
        <f>IFERROR(INDEX('2023 IP UPL Data'!K:K,MATCH(A189,'2023 IP UPL Data'!B:B,0)),0)</f>
        <v>0</v>
      </c>
    </row>
    <row r="190" spans="1:59">
      <c r="A190" s="124" t="s">
        <v>920</v>
      </c>
      <c r="B190" s="149" t="s">
        <v>920</v>
      </c>
      <c r="C190" s="31" t="s">
        <v>921</v>
      </c>
      <c r="D190" s="181" t="s">
        <v>921</v>
      </c>
      <c r="E190" s="144" t="s">
        <v>2804</v>
      </c>
      <c r="F190" s="120" t="s">
        <v>2768</v>
      </c>
      <c r="G190" s="120" t="s">
        <v>310</v>
      </c>
      <c r="H190" s="43" t="str">
        <f t="shared" si="58"/>
        <v>Rural MRSA Northeast</v>
      </c>
      <c r="I190" s="45">
        <f>INDEX(FeeCalc!M:M,MATCH(C:C,FeeCalc!F:F,0))</f>
        <v>69481.520558155578</v>
      </c>
      <c r="J190" s="45">
        <f>INDEX(FeeCalc!L:L,MATCH(C:C,FeeCalc!F:F,0))</f>
        <v>202975.43081775322</v>
      </c>
      <c r="K190" s="45">
        <f t="shared" si="59"/>
        <v>272456.9513759088</v>
      </c>
      <c r="L190" s="45">
        <f>IFERROR(IFERROR(INDEX('2023 IP UPL Data'!N:N,MATCH(A:A,'2023 IP UPL Data'!B:B,0)),INDEX('2023 IMD UPL Data'!M:M,MATCH(A:A,'2023 IMD UPL Data'!B:B,0))),0)</f>
        <v>778.15913985907537</v>
      </c>
      <c r="M190" s="45">
        <f>IFERROR((IF(F190="IMD",0,INDEX('2023 OP UPL Data'!M:M,MATCH(A:A,'2023 OP UPL Data'!B:B,0)))),0)</f>
        <v>121983.71451612902</v>
      </c>
      <c r="N190" s="45">
        <f t="shared" si="60"/>
        <v>122761.87365598811</v>
      </c>
      <c r="O190" s="45">
        <v>-10944.012889217014</v>
      </c>
      <c r="P190" s="45">
        <v>29310.119012874813</v>
      </c>
      <c r="Q190" s="45">
        <f t="shared" si="61"/>
        <v>18366.106123657799</v>
      </c>
      <c r="R190" s="45" t="str">
        <f t="shared" si="62"/>
        <v>No</v>
      </c>
      <c r="S190" s="46" t="str">
        <f t="shared" si="62"/>
        <v>Yes</v>
      </c>
      <c r="T190" s="47">
        <f>ROUND(INDEX(Summary!H:H,MATCH(H:H,Summary!A:A,0)),2)</f>
        <v>0.16</v>
      </c>
      <c r="U190" s="47">
        <f>ROUND(INDEX(Summary!I:I,MATCH(H:H,Summary!A:A,0)),2)</f>
        <v>0.42</v>
      </c>
      <c r="V190" s="85">
        <f t="shared" si="63"/>
        <v>11117.043289304893</v>
      </c>
      <c r="W190" s="85">
        <f t="shared" si="63"/>
        <v>85249.680943456347</v>
      </c>
      <c r="X190" s="45">
        <f t="shared" si="64"/>
        <v>96366.724232761248</v>
      </c>
      <c r="Y190" s="45" t="s">
        <v>3223</v>
      </c>
      <c r="Z190" s="45" t="str">
        <f t="shared" si="65"/>
        <v>No</v>
      </c>
      <c r="AA190" s="45" t="str">
        <f t="shared" si="65"/>
        <v>No</v>
      </c>
      <c r="AB190" s="45" t="str">
        <f t="shared" si="66"/>
        <v>No</v>
      </c>
      <c r="AC190" s="86">
        <f t="shared" si="79"/>
        <v>0</v>
      </c>
      <c r="AD190" s="86">
        <f t="shared" si="80"/>
        <v>0</v>
      </c>
      <c r="AE190" s="45">
        <f t="shared" si="81"/>
        <v>0</v>
      </c>
      <c r="AF190" s="45">
        <f t="shared" si="81"/>
        <v>0</v>
      </c>
      <c r="AG190" s="45">
        <f t="shared" si="67"/>
        <v>0</v>
      </c>
      <c r="AH190" s="47">
        <f>IF(Y190="No",0,IFERROR(ROUNDDOWN(INDEX('90% of ACR'!K:K,MATCH(H:H,'90% of ACR'!A:A,0))*IF(I190&gt;0,IF(O190&gt;0,$R$4*MAX(O190-V190,0),0),0)/I190,2),0))</f>
        <v>0</v>
      </c>
      <c r="AI190" s="86">
        <f>IF(Y190="No",0,IFERROR(ROUNDDOWN(INDEX('90% of ACR'!R:R,MATCH(H:H,'90% of ACR'!A:A,0))*IF(J190&gt;0,IF(P190&gt;0,$R$4*MAX(P190-W190,0),0),0)/J190,2),0))</f>
        <v>0</v>
      </c>
      <c r="AJ190" s="45">
        <f t="shared" si="68"/>
        <v>0</v>
      </c>
      <c r="AK190" s="45">
        <f t="shared" si="68"/>
        <v>0</v>
      </c>
      <c r="AL190" s="47">
        <f t="shared" si="69"/>
        <v>0.16</v>
      </c>
      <c r="AM190" s="47">
        <f t="shared" si="69"/>
        <v>0.42</v>
      </c>
      <c r="AN190" s="87">
        <f>IFERROR(INDEX(FeeCalc!P:P,MATCH(C190,FeeCalc!F:F,0)),0)</f>
        <v>96366.724232761248</v>
      </c>
      <c r="AO190" s="87">
        <f>IFERROR(INDEX(FeeCalc!S:S,MATCH(C190,FeeCalc!F:F,0)),0)</f>
        <v>5931.0808320308606</v>
      </c>
      <c r="AP190" s="87">
        <f t="shared" si="70"/>
        <v>102297.8050647921</v>
      </c>
      <c r="AQ190" s="72">
        <f t="shared" si="71"/>
        <v>43408.232218753372</v>
      </c>
      <c r="AR190" s="72">
        <f t="shared" si="72"/>
        <v>21704.116109376686</v>
      </c>
      <c r="AS190" s="72">
        <f t="shared" si="73"/>
        <v>21704.116109376686</v>
      </c>
      <c r="AT190" s="72">
        <f>IFERROR(IFERROR(INDEX('2023 IP UPL Data'!L:L,MATCH(A:A,'2023 IP UPL Data'!B:B,0)),INDEX('2023 IMD UPL Data'!I:I,MATCH(A:A,'2023 IMD UPL Data'!B:B,0))),0)</f>
        <v>27252.100860140923</v>
      </c>
      <c r="AU190" s="72">
        <f>IFERROR(IF(F188="IMD",0,INDEX('2023 OP UPL Data'!J:J,MATCH(A:A,'2023 OP UPL Data'!B:B,0))),0)</f>
        <v>70783.555483870965</v>
      </c>
      <c r="AV190" s="45">
        <f t="shared" si="74"/>
        <v>98035.656344011892</v>
      </c>
      <c r="AW190" s="72">
        <f>IFERROR(IFERROR(INDEX('2023 IP UPL Data'!M:M,MATCH(A:A,'2023 IP UPL Data'!B:B,0)),INDEX('2023 IMD UPL Data'!K:K,MATCH(A:A,'2023 IMD UPL Data'!B:B,0))),0)</f>
        <v>28030.26</v>
      </c>
      <c r="AX190" s="72">
        <f>IFERROR(IF(F188="IMD",0,INDEX('2023 OP UPL Data'!L:L,MATCH(A:A,'2023 OP UPL Data'!B:B,0))),0)</f>
        <v>192767.27</v>
      </c>
      <c r="AY190" s="45">
        <f t="shared" si="75"/>
        <v>220797.53</v>
      </c>
      <c r="AZ190" s="72">
        <v>16308.087970923909</v>
      </c>
      <c r="BA190" s="72">
        <v>100093.67449674578</v>
      </c>
      <c r="BB190" s="72">
        <f t="shared" si="76"/>
        <v>5191.044681619016</v>
      </c>
      <c r="BC190" s="72">
        <f t="shared" si="76"/>
        <v>14843.993553289431</v>
      </c>
      <c r="BD190" s="72">
        <f t="shared" si="77"/>
        <v>20035.038234908439</v>
      </c>
      <c r="BE190" s="94">
        <f t="shared" si="78"/>
        <v>0</v>
      </c>
      <c r="BF190" s="94">
        <f t="shared" si="78"/>
        <v>0</v>
      </c>
      <c r="BG190" s="73">
        <f>IFERROR(INDEX('2023 IP UPL Data'!K:K,MATCH(A190,'2023 IP UPL Data'!B:B,0)),0)</f>
        <v>0</v>
      </c>
    </row>
    <row r="191" spans="1:59">
      <c r="A191" s="124" t="s">
        <v>620</v>
      </c>
      <c r="B191" s="149" t="s">
        <v>620</v>
      </c>
      <c r="C191" s="31" t="s">
        <v>621</v>
      </c>
      <c r="D191" s="181" t="s">
        <v>621</v>
      </c>
      <c r="E191" s="144" t="s">
        <v>3366</v>
      </c>
      <c r="F191" s="120" t="s">
        <v>2768</v>
      </c>
      <c r="G191" s="120" t="s">
        <v>227</v>
      </c>
      <c r="H191" s="43" t="str">
        <f t="shared" si="58"/>
        <v>Rural MRSA West</v>
      </c>
      <c r="I191" s="45">
        <f>INDEX(FeeCalc!M:M,MATCH(C:C,FeeCalc!F:F,0))</f>
        <v>407728.29582333297</v>
      </c>
      <c r="J191" s="45">
        <f>INDEX(FeeCalc!L:L,MATCH(C:C,FeeCalc!F:F,0))</f>
        <v>1006088.2965583045</v>
      </c>
      <c r="K191" s="45">
        <f t="shared" si="59"/>
        <v>1413816.5923816375</v>
      </c>
      <c r="L191" s="45">
        <f>IFERROR(IFERROR(INDEX('2023 IP UPL Data'!N:N,MATCH(A:A,'2023 IP UPL Data'!B:B,0)),INDEX('2023 IMD UPL Data'!M:M,MATCH(A:A,'2023 IMD UPL Data'!B:B,0))),0)</f>
        <v>802.86017179471673</v>
      </c>
      <c r="M191" s="45">
        <f>IFERROR((IF(F191="IMD",0,INDEX('2023 OP UPL Data'!M:M,MATCH(A:A,'2023 OP UPL Data'!B:B,0)))),0)</f>
        <v>258027.1032500001</v>
      </c>
      <c r="N191" s="45">
        <f t="shared" si="60"/>
        <v>258829.96342179482</v>
      </c>
      <c r="O191" s="45">
        <v>-31211.549083533871</v>
      </c>
      <c r="P191" s="45">
        <v>207583.25450041861</v>
      </c>
      <c r="Q191" s="45">
        <f t="shared" si="61"/>
        <v>176371.70541688474</v>
      </c>
      <c r="R191" s="45" t="str">
        <f t="shared" si="62"/>
        <v>No</v>
      </c>
      <c r="S191" s="46" t="str">
        <f t="shared" si="62"/>
        <v>Yes</v>
      </c>
      <c r="T191" s="47">
        <f>ROUND(INDEX(Summary!H:H,MATCH(H:H,Summary!A:A,0)),2)</f>
        <v>0</v>
      </c>
      <c r="U191" s="47">
        <f>ROUND(INDEX(Summary!I:I,MATCH(H:H,Summary!A:A,0)),2)</f>
        <v>0.28999999999999998</v>
      </c>
      <c r="V191" s="85">
        <f t="shared" si="63"/>
        <v>0</v>
      </c>
      <c r="W191" s="85">
        <f t="shared" si="63"/>
        <v>291765.60600190825</v>
      </c>
      <c r="X191" s="45">
        <f t="shared" si="64"/>
        <v>291765.60600190825</v>
      </c>
      <c r="Y191" s="45" t="s">
        <v>3223</v>
      </c>
      <c r="Z191" s="45" t="str">
        <f t="shared" si="65"/>
        <v>No</v>
      </c>
      <c r="AA191" s="45" t="str">
        <f t="shared" si="65"/>
        <v>No</v>
      </c>
      <c r="AB191" s="45" t="str">
        <f t="shared" si="66"/>
        <v>No</v>
      </c>
      <c r="AC191" s="86">
        <f t="shared" si="79"/>
        <v>0</v>
      </c>
      <c r="AD191" s="86">
        <f t="shared" si="80"/>
        <v>0</v>
      </c>
      <c r="AE191" s="45">
        <f t="shared" si="81"/>
        <v>0</v>
      </c>
      <c r="AF191" s="45">
        <f t="shared" si="81"/>
        <v>0</v>
      </c>
      <c r="AG191" s="45">
        <f t="shared" si="67"/>
        <v>0</v>
      </c>
      <c r="AH191" s="47">
        <f>IF(Y191="No",0,IFERROR(ROUNDDOWN(INDEX('90% of ACR'!K:K,MATCH(H:H,'90% of ACR'!A:A,0))*IF(I191&gt;0,IF(O191&gt;0,$R$4*MAX(O191-V191,0),0),0)/I191,2),0))</f>
        <v>0</v>
      </c>
      <c r="AI191" s="86">
        <f>IF(Y191="No",0,IFERROR(ROUNDDOWN(INDEX('90% of ACR'!R:R,MATCH(H:H,'90% of ACR'!A:A,0))*IF(J191&gt;0,IF(P191&gt;0,$R$4*MAX(P191-W191,0),0),0)/J191,2),0))</f>
        <v>0</v>
      </c>
      <c r="AJ191" s="45">
        <f t="shared" si="68"/>
        <v>0</v>
      </c>
      <c r="AK191" s="45">
        <f t="shared" si="68"/>
        <v>0</v>
      </c>
      <c r="AL191" s="47">
        <f t="shared" si="69"/>
        <v>0</v>
      </c>
      <c r="AM191" s="47">
        <f t="shared" si="69"/>
        <v>0.28999999999999998</v>
      </c>
      <c r="AN191" s="87">
        <f>IFERROR(INDEX(FeeCalc!P:P,MATCH(C191,FeeCalc!F:F,0)),0)</f>
        <v>291765.60600190825</v>
      </c>
      <c r="AO191" s="87">
        <f>IFERROR(INDEX(FeeCalc!S:S,MATCH(C191,FeeCalc!F:F,0)),0)</f>
        <v>18051.489949813731</v>
      </c>
      <c r="AP191" s="87">
        <f t="shared" si="70"/>
        <v>309817.095951722</v>
      </c>
      <c r="AQ191" s="72">
        <f t="shared" si="71"/>
        <v>131465.30795938612</v>
      </c>
      <c r="AR191" s="72">
        <f t="shared" si="72"/>
        <v>65732.653979693059</v>
      </c>
      <c r="AS191" s="72">
        <f t="shared" si="73"/>
        <v>65732.653979693059</v>
      </c>
      <c r="AT191" s="72">
        <f>IFERROR(IFERROR(INDEX('2023 IP UPL Data'!L:L,MATCH(A:A,'2023 IP UPL Data'!B:B,0)),INDEX('2023 IMD UPL Data'!I:I,MATCH(A:A,'2023 IMD UPL Data'!B:B,0))),0)</f>
        <v>401918.7198282053</v>
      </c>
      <c r="AU191" s="72">
        <f>IFERROR(IF(F189="IMD",0,INDEX('2023 OP UPL Data'!J:J,MATCH(A:A,'2023 OP UPL Data'!B:B,0))),0)</f>
        <v>305148.0267499999</v>
      </c>
      <c r="AV191" s="45">
        <f t="shared" si="74"/>
        <v>707066.74657820514</v>
      </c>
      <c r="AW191" s="72">
        <f>IFERROR(IFERROR(INDEX('2023 IP UPL Data'!M:M,MATCH(A:A,'2023 IP UPL Data'!B:B,0)),INDEX('2023 IMD UPL Data'!K:K,MATCH(A:A,'2023 IMD UPL Data'!B:B,0))),0)</f>
        <v>402721.58</v>
      </c>
      <c r="AX191" s="72">
        <f>IFERROR(IF(F189="IMD",0,INDEX('2023 OP UPL Data'!L:L,MATCH(A:A,'2023 OP UPL Data'!B:B,0))),0)</f>
        <v>563175.13</v>
      </c>
      <c r="AY191" s="45">
        <f t="shared" si="75"/>
        <v>965896.71</v>
      </c>
      <c r="AZ191" s="72">
        <v>370707.17074467143</v>
      </c>
      <c r="BA191" s="72">
        <v>512731.28125041851</v>
      </c>
      <c r="BB191" s="72">
        <f t="shared" si="76"/>
        <v>370707.17074467143</v>
      </c>
      <c r="BC191" s="72">
        <f t="shared" si="76"/>
        <v>220965.67524851026</v>
      </c>
      <c r="BD191" s="72">
        <f t="shared" si="77"/>
        <v>591672.84599318169</v>
      </c>
      <c r="BE191" s="94">
        <f t="shared" si="78"/>
        <v>0</v>
      </c>
      <c r="BF191" s="94">
        <f t="shared" si="78"/>
        <v>0</v>
      </c>
      <c r="BG191" s="73">
        <f>IFERROR(INDEX('2023 IP UPL Data'!K:K,MATCH(A191,'2023 IP UPL Data'!B:B,0)),0)</f>
        <v>0</v>
      </c>
    </row>
    <row r="192" spans="1:59" ht="25.5">
      <c r="A192" s="124" t="s">
        <v>1265</v>
      </c>
      <c r="B192" s="149" t="s">
        <v>1265</v>
      </c>
      <c r="C192" s="31" t="s">
        <v>1266</v>
      </c>
      <c r="D192" s="181" t="s">
        <v>1266</v>
      </c>
      <c r="E192" s="144" t="s">
        <v>3376</v>
      </c>
      <c r="F192" s="120" t="s">
        <v>3069</v>
      </c>
      <c r="G192" s="120" t="s">
        <v>300</v>
      </c>
      <c r="H192" s="43" t="str">
        <f t="shared" si="58"/>
        <v>Non-state-owned IMD Harris</v>
      </c>
      <c r="I192" s="45">
        <f>INDEX(FeeCalc!M:M,MATCH(C:C,FeeCalc!F:F,0))</f>
        <v>2743641.8425458106</v>
      </c>
      <c r="J192" s="45">
        <f>INDEX(FeeCalc!L:L,MATCH(C:C,FeeCalc!F:F,0))</f>
        <v>0</v>
      </c>
      <c r="K192" s="45">
        <f t="shared" si="59"/>
        <v>2743641.8425458106</v>
      </c>
      <c r="L192" s="45">
        <f>IFERROR(IFERROR(INDEX('2023 IP UPL Data'!N:N,MATCH(A:A,'2023 IP UPL Data'!B:B,0)),INDEX('2023 IMD UPL Data'!M:M,MATCH(A:A,'2023 IMD UPL Data'!B:B,0))),0)</f>
        <v>1989023.48</v>
      </c>
      <c r="M192" s="45">
        <f>IFERROR((IF(F192="IMD",0,INDEX('2023 OP UPL Data'!M:M,MATCH(A:A,'2023 OP UPL Data'!B:B,0)))),0)</f>
        <v>0</v>
      </c>
      <c r="N192" s="45">
        <f t="shared" si="60"/>
        <v>1989023.48</v>
      </c>
      <c r="O192" s="45">
        <v>1734690.0121873533</v>
      </c>
      <c r="P192" s="45">
        <v>0</v>
      </c>
      <c r="Q192" s="45">
        <f t="shared" si="61"/>
        <v>1734690.0121873533</v>
      </c>
      <c r="R192" s="45" t="str">
        <f t="shared" si="62"/>
        <v>Yes</v>
      </c>
      <c r="S192" s="46" t="str">
        <f t="shared" si="62"/>
        <v>No</v>
      </c>
      <c r="T192" s="47">
        <f>ROUND(INDEX(Summary!H:H,MATCH(H:H,Summary!A:A,0)),2)</f>
        <v>0.44</v>
      </c>
      <c r="U192" s="47">
        <f>ROUND(INDEX(Summary!I:I,MATCH(H:H,Summary!A:A,0)),2)</f>
        <v>0</v>
      </c>
      <c r="V192" s="85">
        <f t="shared" si="63"/>
        <v>1207202.4107201567</v>
      </c>
      <c r="W192" s="85">
        <f t="shared" si="63"/>
        <v>0</v>
      </c>
      <c r="X192" s="45">
        <f t="shared" si="64"/>
        <v>1207202.4107201567</v>
      </c>
      <c r="Y192" s="45" t="s">
        <v>3223</v>
      </c>
      <c r="Z192" s="45" t="str">
        <f t="shared" si="65"/>
        <v>No</v>
      </c>
      <c r="AA192" s="45" t="str">
        <f t="shared" si="65"/>
        <v>No</v>
      </c>
      <c r="AB192" s="45" t="str">
        <f t="shared" si="66"/>
        <v>Yes</v>
      </c>
      <c r="AC192" s="86">
        <f t="shared" si="79"/>
        <v>0.13</v>
      </c>
      <c r="AD192" s="86">
        <f t="shared" si="80"/>
        <v>0</v>
      </c>
      <c r="AE192" s="45">
        <f t="shared" si="81"/>
        <v>356673.43953095539</v>
      </c>
      <c r="AF192" s="45">
        <f t="shared" si="81"/>
        <v>0</v>
      </c>
      <c r="AG192" s="45">
        <f t="shared" si="67"/>
        <v>356673.43953095539</v>
      </c>
      <c r="AH192" s="47">
        <f>IF(Y192="No",0,IFERROR(ROUNDDOWN(INDEX('90% of ACR'!K:K,MATCH(H:H,'90% of ACR'!A:A,0))*IF(I192&gt;0,IF(O192&gt;0,$R$4*MAX(O192-V192,0),0),0)/I192,2),0))</f>
        <v>0</v>
      </c>
      <c r="AI192" s="86">
        <f>IF(Y192="No",0,IFERROR(ROUNDDOWN(INDEX('90% of ACR'!R:R,MATCH(H:H,'90% of ACR'!A:A,0))*IF(J192&gt;0,IF(P192&gt;0,$R$4*MAX(P192-W192,0),0),0)/J192,2),0))</f>
        <v>0</v>
      </c>
      <c r="AJ192" s="45">
        <f t="shared" si="68"/>
        <v>0</v>
      </c>
      <c r="AK192" s="45">
        <f t="shared" si="68"/>
        <v>0</v>
      </c>
      <c r="AL192" s="47">
        <f t="shared" si="69"/>
        <v>0.44</v>
      </c>
      <c r="AM192" s="47">
        <f t="shared" si="69"/>
        <v>0</v>
      </c>
      <c r="AN192" s="87">
        <f>IFERROR(INDEX(FeeCalc!P:P,MATCH(C192,FeeCalc!F:F,0)),0)</f>
        <v>1207202.4107201567</v>
      </c>
      <c r="AO192" s="87">
        <f>IFERROR(INDEX(FeeCalc!S:S,MATCH(C192,FeeCalc!F:F,0)),0)</f>
        <v>73648.953439160759</v>
      </c>
      <c r="AP192" s="87">
        <f t="shared" si="70"/>
        <v>1280851.3641593175</v>
      </c>
      <c r="AQ192" s="72">
        <f t="shared" si="71"/>
        <v>543506.22105645156</v>
      </c>
      <c r="AR192" s="72">
        <f t="shared" si="72"/>
        <v>271753.11052822578</v>
      </c>
      <c r="AS192" s="72">
        <f t="shared" si="73"/>
        <v>271753.11052822578</v>
      </c>
      <c r="AT192" s="72">
        <f>IFERROR(IFERROR(INDEX('2023 IP UPL Data'!L:L,MATCH(A:A,'2023 IP UPL Data'!B:B,0)),INDEX('2023 IMD UPL Data'!I:I,MATCH(A:A,'2023 IMD UPL Data'!B:B,0))),0)</f>
        <v>3120004.26</v>
      </c>
      <c r="AU192" s="72">
        <f>IFERROR(IF(F190="IMD",0,INDEX('2023 OP UPL Data'!J:J,MATCH(A:A,'2023 OP UPL Data'!B:B,0))),0)</f>
        <v>0</v>
      </c>
      <c r="AV192" s="45">
        <f t="shared" si="74"/>
        <v>3120004.26</v>
      </c>
      <c r="AW192" s="72">
        <f>IFERROR(IFERROR(INDEX('2023 IP UPL Data'!M:M,MATCH(A:A,'2023 IP UPL Data'!B:B,0)),INDEX('2023 IMD UPL Data'!K:K,MATCH(A:A,'2023 IMD UPL Data'!B:B,0))),0)</f>
        <v>1989023.48</v>
      </c>
      <c r="AX192" s="72">
        <f>IFERROR(IF(F190="IMD",0,INDEX('2023 OP UPL Data'!L:L,MATCH(A:A,'2023 OP UPL Data'!B:B,0))),0)</f>
        <v>0</v>
      </c>
      <c r="AY192" s="45">
        <f t="shared" si="75"/>
        <v>1989023.48</v>
      </c>
      <c r="AZ192" s="72">
        <v>4854694.2721873531</v>
      </c>
      <c r="BA192" s="72">
        <v>0</v>
      </c>
      <c r="BB192" s="72">
        <f t="shared" si="76"/>
        <v>3647491.8614671966</v>
      </c>
      <c r="BC192" s="72">
        <f t="shared" si="76"/>
        <v>0</v>
      </c>
      <c r="BD192" s="72">
        <f t="shared" si="77"/>
        <v>3647491.8614671966</v>
      </c>
      <c r="BE192" s="94">
        <f t="shared" si="78"/>
        <v>2865670.7921873531</v>
      </c>
      <c r="BF192" s="94">
        <f t="shared" si="78"/>
        <v>0</v>
      </c>
      <c r="BG192" s="73">
        <f>IFERROR(INDEX('2023 IP UPL Data'!K:K,MATCH(A192,'2023 IP UPL Data'!B:B,0)),0)</f>
        <v>0</v>
      </c>
    </row>
    <row r="193" spans="1:59">
      <c r="A193" s="124" t="s">
        <v>729</v>
      </c>
      <c r="B193" s="149" t="s">
        <v>729</v>
      </c>
      <c r="C193" s="31" t="s">
        <v>730</v>
      </c>
      <c r="D193" s="181" t="s">
        <v>730</v>
      </c>
      <c r="E193" s="144" t="s">
        <v>2856</v>
      </c>
      <c r="F193" s="120" t="s">
        <v>2768</v>
      </c>
      <c r="G193" s="120" t="s">
        <v>227</v>
      </c>
      <c r="H193" s="43" t="str">
        <f t="shared" si="58"/>
        <v>Rural MRSA West</v>
      </c>
      <c r="I193" s="45">
        <f>INDEX(FeeCalc!M:M,MATCH(C:C,FeeCalc!F:F,0))</f>
        <v>167008.11595436986</v>
      </c>
      <c r="J193" s="45">
        <f>INDEX(FeeCalc!L:L,MATCH(C:C,FeeCalc!F:F,0))</f>
        <v>472644.29202909803</v>
      </c>
      <c r="K193" s="45">
        <f t="shared" si="59"/>
        <v>639652.40798346791</v>
      </c>
      <c r="L193" s="45">
        <f>IFERROR(IFERROR(INDEX('2023 IP UPL Data'!N:N,MATCH(A:A,'2023 IP UPL Data'!B:B,0)),INDEX('2023 IMD UPL Data'!M:M,MATCH(A:A,'2023 IMD UPL Data'!B:B,0))),0)</f>
        <v>-43807.94649704847</v>
      </c>
      <c r="M193" s="45">
        <f>IFERROR((IF(F193="IMD",0,INDEX('2023 OP UPL Data'!M:M,MATCH(A:A,'2023 OP UPL Data'!B:B,0)))),0)</f>
        <v>78226.959750000009</v>
      </c>
      <c r="N193" s="45">
        <f t="shared" si="60"/>
        <v>34419.013252951539</v>
      </c>
      <c r="O193" s="45">
        <v>-40126.690753185263</v>
      </c>
      <c r="P193" s="45">
        <v>371132.49539614003</v>
      </c>
      <c r="Q193" s="45">
        <f t="shared" si="61"/>
        <v>331005.80464295478</v>
      </c>
      <c r="R193" s="45" t="str">
        <f t="shared" si="62"/>
        <v>No</v>
      </c>
      <c r="S193" s="46" t="str">
        <f t="shared" si="62"/>
        <v>Yes</v>
      </c>
      <c r="T193" s="47">
        <f>ROUND(INDEX(Summary!H:H,MATCH(H:H,Summary!A:A,0)),2)</f>
        <v>0</v>
      </c>
      <c r="U193" s="47">
        <f>ROUND(INDEX(Summary!I:I,MATCH(H:H,Summary!A:A,0)),2)</f>
        <v>0.28999999999999998</v>
      </c>
      <c r="V193" s="85">
        <f t="shared" si="63"/>
        <v>0</v>
      </c>
      <c r="W193" s="85">
        <f t="shared" si="63"/>
        <v>137066.84468843843</v>
      </c>
      <c r="X193" s="45">
        <f t="shared" si="64"/>
        <v>137066.84468843843</v>
      </c>
      <c r="Y193" s="45" t="s">
        <v>3223</v>
      </c>
      <c r="Z193" s="45" t="str">
        <f t="shared" si="65"/>
        <v>No</v>
      </c>
      <c r="AA193" s="45" t="str">
        <f t="shared" si="65"/>
        <v>Yes</v>
      </c>
      <c r="AB193" s="45" t="str">
        <f t="shared" si="66"/>
        <v>Yes</v>
      </c>
      <c r="AC193" s="86">
        <f t="shared" si="79"/>
        <v>0</v>
      </c>
      <c r="AD193" s="86">
        <f t="shared" si="80"/>
        <v>0.34</v>
      </c>
      <c r="AE193" s="45">
        <f t="shared" si="81"/>
        <v>0</v>
      </c>
      <c r="AF193" s="45">
        <f t="shared" si="81"/>
        <v>160699.05928989334</v>
      </c>
      <c r="AG193" s="45">
        <f t="shared" si="67"/>
        <v>160699.05928989334</v>
      </c>
      <c r="AH193" s="47">
        <f>IF(Y193="No",0,IFERROR(ROUNDDOWN(INDEX('90% of ACR'!K:K,MATCH(H:H,'90% of ACR'!A:A,0))*IF(I193&gt;0,IF(O193&gt;0,$R$4*MAX(O193-V193,0),0),0)/I193,2),0))</f>
        <v>0</v>
      </c>
      <c r="AI193" s="86">
        <f>IF(Y193="No",0,IFERROR(ROUNDDOWN(INDEX('90% of ACR'!R:R,MATCH(H:H,'90% of ACR'!A:A,0))*IF(J193&gt;0,IF(P193&gt;0,$R$4*MAX(P193-W193,0),0),0)/J193,2),0))</f>
        <v>0.34</v>
      </c>
      <c r="AJ193" s="45">
        <f t="shared" si="68"/>
        <v>0</v>
      </c>
      <c r="AK193" s="45">
        <f t="shared" si="68"/>
        <v>160699.05928989334</v>
      </c>
      <c r="AL193" s="47">
        <f t="shared" si="69"/>
        <v>0</v>
      </c>
      <c r="AM193" s="47">
        <f t="shared" si="69"/>
        <v>0.63</v>
      </c>
      <c r="AN193" s="87">
        <f>IFERROR(INDEX(FeeCalc!P:P,MATCH(C193,FeeCalc!F:F,0)),0)</f>
        <v>297765.90397833177</v>
      </c>
      <c r="AO193" s="87">
        <f>IFERROR(INDEX(FeeCalc!S:S,MATCH(C193,FeeCalc!F:F,0)),0)</f>
        <v>18413.737657094578</v>
      </c>
      <c r="AP193" s="87">
        <f t="shared" si="70"/>
        <v>316179.64163542632</v>
      </c>
      <c r="AQ193" s="72">
        <f t="shared" si="71"/>
        <v>134165.13969444373</v>
      </c>
      <c r="AR193" s="72">
        <f t="shared" si="72"/>
        <v>67082.569847221865</v>
      </c>
      <c r="AS193" s="72">
        <f t="shared" si="73"/>
        <v>67082.569847221865</v>
      </c>
      <c r="AT193" s="72">
        <f>IFERROR(IFERROR(INDEX('2023 IP UPL Data'!L:L,MATCH(A:A,'2023 IP UPL Data'!B:B,0)),INDEX('2023 IMD UPL Data'!I:I,MATCH(A:A,'2023 IMD UPL Data'!B:B,0))),0)</f>
        <v>95500.606497048473</v>
      </c>
      <c r="AU193" s="72">
        <f>IFERROR(IF(F191="IMD",0,INDEX('2023 OP UPL Data'!J:J,MATCH(A:A,'2023 OP UPL Data'!B:B,0))),0)</f>
        <v>139600.41024999999</v>
      </c>
      <c r="AV193" s="45">
        <f t="shared" si="74"/>
        <v>235101.01674704847</v>
      </c>
      <c r="AW193" s="72">
        <f>IFERROR(IFERROR(INDEX('2023 IP UPL Data'!M:M,MATCH(A:A,'2023 IP UPL Data'!B:B,0)),INDEX('2023 IMD UPL Data'!K:K,MATCH(A:A,'2023 IMD UPL Data'!B:B,0))),0)</f>
        <v>51692.66</v>
      </c>
      <c r="AX193" s="72">
        <f>IFERROR(IF(F191="IMD",0,INDEX('2023 OP UPL Data'!L:L,MATCH(A:A,'2023 OP UPL Data'!B:B,0))),0)</f>
        <v>217827.37</v>
      </c>
      <c r="AY193" s="45">
        <f t="shared" si="75"/>
        <v>269520.03000000003</v>
      </c>
      <c r="AZ193" s="72">
        <v>55373.91574386321</v>
      </c>
      <c r="BA193" s="72">
        <v>510732.90564614005</v>
      </c>
      <c r="BB193" s="72">
        <f t="shared" si="76"/>
        <v>55373.91574386321</v>
      </c>
      <c r="BC193" s="72">
        <f t="shared" si="76"/>
        <v>373666.06095770164</v>
      </c>
      <c r="BD193" s="72">
        <f t="shared" si="77"/>
        <v>429039.97670156474</v>
      </c>
      <c r="BE193" s="94">
        <f t="shared" si="78"/>
        <v>3681.2557438632066</v>
      </c>
      <c r="BF193" s="94">
        <f t="shared" si="78"/>
        <v>292905.53564614005</v>
      </c>
      <c r="BG193" s="73">
        <f>IFERROR(INDEX('2023 IP UPL Data'!K:K,MATCH(A193,'2023 IP UPL Data'!B:B,0)),0)</f>
        <v>0</v>
      </c>
    </row>
    <row r="194" spans="1:59">
      <c r="A194" s="124" t="s">
        <v>410</v>
      </c>
      <c r="B194" s="149" t="s">
        <v>410</v>
      </c>
      <c r="C194" s="31" t="s">
        <v>411</v>
      </c>
      <c r="D194" s="181" t="s">
        <v>411</v>
      </c>
      <c r="E194" s="144" t="s">
        <v>3516</v>
      </c>
      <c r="F194" s="120" t="s">
        <v>2718</v>
      </c>
      <c r="G194" s="120" t="s">
        <v>300</v>
      </c>
      <c r="H194" s="43" t="str">
        <f t="shared" si="58"/>
        <v>Urban Harris</v>
      </c>
      <c r="I194" s="45">
        <f>INDEX(FeeCalc!M:M,MATCH(C:C,FeeCalc!F:F,0))</f>
        <v>2234651.6451929794</v>
      </c>
      <c r="J194" s="45">
        <f>INDEX(FeeCalc!L:L,MATCH(C:C,FeeCalc!F:F,0))</f>
        <v>1362198.3701150166</v>
      </c>
      <c r="K194" s="45">
        <f t="shared" si="59"/>
        <v>3596850.015307996</v>
      </c>
      <c r="L194" s="45">
        <f>IFERROR(IFERROR(INDEX('2023 IP UPL Data'!N:N,MATCH(A:A,'2023 IP UPL Data'!B:B,0)),INDEX('2023 IMD UPL Data'!M:M,MATCH(A:A,'2023 IMD UPL Data'!B:B,0))),0)</f>
        <v>4087250.7623529416</v>
      </c>
      <c r="M194" s="45">
        <f>IFERROR((IF(F194="IMD",0,INDEX('2023 OP UPL Data'!M:M,MATCH(A:A,'2023 OP UPL Data'!B:B,0)))),0)</f>
        <v>1269708.9942647058</v>
      </c>
      <c r="N194" s="45">
        <f t="shared" si="60"/>
        <v>5356959.7566176476</v>
      </c>
      <c r="O194" s="45">
        <v>5998071.6764917979</v>
      </c>
      <c r="P194" s="45">
        <v>1410397.4425585016</v>
      </c>
      <c r="Q194" s="45">
        <f t="shared" si="61"/>
        <v>7408469.1190502997</v>
      </c>
      <c r="R194" s="45" t="str">
        <f t="shared" si="62"/>
        <v>Yes</v>
      </c>
      <c r="S194" s="46" t="str">
        <f t="shared" si="62"/>
        <v>Yes</v>
      </c>
      <c r="T194" s="47">
        <f>ROUND(INDEX(Summary!H:H,MATCH(H:H,Summary!A:A,0)),2)</f>
        <v>2.59</v>
      </c>
      <c r="U194" s="47">
        <f>ROUND(INDEX(Summary!I:I,MATCH(H:H,Summary!A:A,0)),2)</f>
        <v>0.85</v>
      </c>
      <c r="V194" s="85">
        <f t="shared" si="63"/>
        <v>5787747.7610498164</v>
      </c>
      <c r="W194" s="85">
        <f t="shared" si="63"/>
        <v>1157868.6145977641</v>
      </c>
      <c r="X194" s="45">
        <f t="shared" si="64"/>
        <v>6945616.3756475803</v>
      </c>
      <c r="Y194" s="45" t="s">
        <v>3223</v>
      </c>
      <c r="Z194" s="45" t="str">
        <f t="shared" si="65"/>
        <v>No</v>
      </c>
      <c r="AA194" s="45" t="str">
        <f t="shared" si="65"/>
        <v>Yes</v>
      </c>
      <c r="AB194" s="45" t="str">
        <f t="shared" si="66"/>
        <v>Yes</v>
      </c>
      <c r="AC194" s="86">
        <f t="shared" si="79"/>
        <v>7.0000000000000007E-2</v>
      </c>
      <c r="AD194" s="86">
        <f t="shared" si="80"/>
        <v>0.13</v>
      </c>
      <c r="AE194" s="45">
        <f t="shared" si="81"/>
        <v>156425.61516350857</v>
      </c>
      <c r="AF194" s="45">
        <f t="shared" si="81"/>
        <v>177085.78811495216</v>
      </c>
      <c r="AG194" s="45">
        <f t="shared" si="67"/>
        <v>333511.40327846073</v>
      </c>
      <c r="AH194" s="47">
        <f>IF(Y194="No",0,IFERROR(ROUNDDOWN(INDEX('90% of ACR'!K:K,MATCH(H:H,'90% of ACR'!A:A,0))*IF(I194&gt;0,IF(O194&gt;0,$R$4*MAX(O194-V194,0),0),0)/I194,2),0))</f>
        <v>0</v>
      </c>
      <c r="AI194" s="86">
        <f>IF(Y194="No",0,IFERROR(ROUNDDOWN(INDEX('90% of ACR'!R:R,MATCH(H:H,'90% of ACR'!A:A,0))*IF(J194&gt;0,IF(P194&gt;0,$R$4*MAX(P194-W194,0),0),0)/J194,2),0))</f>
        <v>0.09</v>
      </c>
      <c r="AJ194" s="45">
        <f t="shared" si="68"/>
        <v>0</v>
      </c>
      <c r="AK194" s="45">
        <f t="shared" si="68"/>
        <v>122597.85331035149</v>
      </c>
      <c r="AL194" s="47">
        <f t="shared" si="69"/>
        <v>2.59</v>
      </c>
      <c r="AM194" s="47">
        <f t="shared" si="69"/>
        <v>0.94</v>
      </c>
      <c r="AN194" s="87">
        <f>IFERROR(INDEX(FeeCalc!P:P,MATCH(C194,FeeCalc!F:F,0)),0)</f>
        <v>7068214.2289579324</v>
      </c>
      <c r="AO194" s="87">
        <f>IFERROR(INDEX(FeeCalc!S:S,MATCH(C194,FeeCalc!F:F,0)),0)</f>
        <v>440515.32157158636</v>
      </c>
      <c r="AP194" s="87">
        <f t="shared" si="70"/>
        <v>7508729.5505295191</v>
      </c>
      <c r="AQ194" s="72">
        <f t="shared" si="71"/>
        <v>3186194.2276352923</v>
      </c>
      <c r="AR194" s="72">
        <f t="shared" si="72"/>
        <v>1593097.1138176462</v>
      </c>
      <c r="AS194" s="72">
        <f t="shared" si="73"/>
        <v>1593097.1138176462</v>
      </c>
      <c r="AT194" s="72">
        <f>IFERROR(IFERROR(INDEX('2023 IP UPL Data'!L:L,MATCH(A:A,'2023 IP UPL Data'!B:B,0)),INDEX('2023 IMD UPL Data'!I:I,MATCH(A:A,'2023 IMD UPL Data'!B:B,0))),0)</f>
        <v>2569771.6176470583</v>
      </c>
      <c r="AU194" s="72">
        <f>IFERROR(IF(F192="IMD",0,INDEX('2023 OP UPL Data'!J:J,MATCH(A:A,'2023 OP UPL Data'!B:B,0))),0)</f>
        <v>776616.52573529421</v>
      </c>
      <c r="AV194" s="45">
        <f t="shared" si="74"/>
        <v>3346388.1433823528</v>
      </c>
      <c r="AW194" s="72">
        <f>IFERROR(IFERROR(INDEX('2023 IP UPL Data'!M:M,MATCH(A:A,'2023 IP UPL Data'!B:B,0)),INDEX('2023 IMD UPL Data'!K:K,MATCH(A:A,'2023 IMD UPL Data'!B:B,0))),0)</f>
        <v>6657022.3799999999</v>
      </c>
      <c r="AX194" s="72">
        <f>IFERROR(IF(F192="IMD",0,INDEX('2023 OP UPL Data'!L:L,MATCH(A:A,'2023 OP UPL Data'!B:B,0))),0)</f>
        <v>2046325.52</v>
      </c>
      <c r="AY194" s="45">
        <f t="shared" si="75"/>
        <v>8703347.9000000004</v>
      </c>
      <c r="AZ194" s="72">
        <v>8567843.2941388562</v>
      </c>
      <c r="BA194" s="72">
        <v>2187013.9682937958</v>
      </c>
      <c r="BB194" s="72">
        <f t="shared" si="76"/>
        <v>2780095.5330890398</v>
      </c>
      <c r="BC194" s="72">
        <f t="shared" si="76"/>
        <v>1029145.3536960317</v>
      </c>
      <c r="BD194" s="72">
        <f t="shared" si="77"/>
        <v>3809240.8867850713</v>
      </c>
      <c r="BE194" s="94">
        <f t="shared" si="78"/>
        <v>1910820.9141388563</v>
      </c>
      <c r="BF194" s="94">
        <f t="shared" si="78"/>
        <v>140688.44829379581</v>
      </c>
      <c r="BG194" s="73">
        <f>IFERROR(INDEX('2023 IP UPL Data'!K:K,MATCH(A194,'2023 IP UPL Data'!B:B,0)),0)</f>
        <v>0</v>
      </c>
    </row>
    <row r="195" spans="1:59">
      <c r="A195" s="124" t="s">
        <v>416</v>
      </c>
      <c r="B195" s="149" t="s">
        <v>416</v>
      </c>
      <c r="C195" s="31" t="s">
        <v>417</v>
      </c>
      <c r="D195" s="181" t="s">
        <v>417</v>
      </c>
      <c r="E195" s="144" t="s">
        <v>3517</v>
      </c>
      <c r="F195" s="120" t="s">
        <v>2718</v>
      </c>
      <c r="G195" s="120" t="s">
        <v>300</v>
      </c>
      <c r="H195" s="43" t="str">
        <f t="shared" si="58"/>
        <v>Urban Harris</v>
      </c>
      <c r="I195" s="45">
        <f>INDEX(FeeCalc!M:M,MATCH(C:C,FeeCalc!F:F,0))</f>
        <v>63015.480432892386</v>
      </c>
      <c r="J195" s="45">
        <f>INDEX(FeeCalc!L:L,MATCH(C:C,FeeCalc!F:F,0))</f>
        <v>435721.64114544576</v>
      </c>
      <c r="K195" s="45">
        <f t="shared" si="59"/>
        <v>498737.12157833815</v>
      </c>
      <c r="L195" s="45">
        <f>IFERROR(IFERROR(INDEX('2023 IP UPL Data'!N:N,MATCH(A:A,'2023 IP UPL Data'!B:B,0)),INDEX('2023 IMD UPL Data'!M:M,MATCH(A:A,'2023 IMD UPL Data'!B:B,0))),0)</f>
        <v>31776.408529411754</v>
      </c>
      <c r="M195" s="45">
        <f>IFERROR((IF(F195="IMD",0,INDEX('2023 OP UPL Data'!M:M,MATCH(A:A,'2023 OP UPL Data'!B:B,0)))),0)</f>
        <v>777948.64735294122</v>
      </c>
      <c r="N195" s="45">
        <f t="shared" si="60"/>
        <v>809725.05588235299</v>
      </c>
      <c r="O195" s="45">
        <v>112574.27298327049</v>
      </c>
      <c r="P195" s="45">
        <v>858291.57172849576</v>
      </c>
      <c r="Q195" s="45">
        <f t="shared" si="61"/>
        <v>970865.84471176623</v>
      </c>
      <c r="R195" s="45" t="str">
        <f t="shared" si="62"/>
        <v>Yes</v>
      </c>
      <c r="S195" s="46" t="str">
        <f t="shared" si="62"/>
        <v>Yes</v>
      </c>
      <c r="T195" s="47">
        <f>ROUND(INDEX(Summary!H:H,MATCH(H:H,Summary!A:A,0)),2)</f>
        <v>2.59</v>
      </c>
      <c r="U195" s="47">
        <f>ROUND(INDEX(Summary!I:I,MATCH(H:H,Summary!A:A,0)),2)</f>
        <v>0.85</v>
      </c>
      <c r="V195" s="85">
        <f t="shared" si="63"/>
        <v>163210.09432119128</v>
      </c>
      <c r="W195" s="85">
        <f t="shared" si="63"/>
        <v>370363.39497362886</v>
      </c>
      <c r="X195" s="45">
        <f t="shared" si="64"/>
        <v>533573.48929482012</v>
      </c>
      <c r="Y195" s="45" t="s">
        <v>3223</v>
      </c>
      <c r="Z195" s="45" t="str">
        <f t="shared" si="65"/>
        <v>No</v>
      </c>
      <c r="AA195" s="45" t="str">
        <f t="shared" si="65"/>
        <v>Yes</v>
      </c>
      <c r="AB195" s="45" t="str">
        <f t="shared" si="66"/>
        <v>Yes</v>
      </c>
      <c r="AC195" s="86">
        <f t="shared" si="79"/>
        <v>0</v>
      </c>
      <c r="AD195" s="86">
        <f t="shared" si="80"/>
        <v>0.78</v>
      </c>
      <c r="AE195" s="45">
        <f t="shared" si="81"/>
        <v>0</v>
      </c>
      <c r="AF195" s="45">
        <f t="shared" si="81"/>
        <v>339862.88009344769</v>
      </c>
      <c r="AG195" s="45">
        <f t="shared" si="67"/>
        <v>339862.88009344769</v>
      </c>
      <c r="AH195" s="47">
        <f>IF(Y195="No",0,IFERROR(ROUNDDOWN(INDEX('90% of ACR'!K:K,MATCH(H:H,'90% of ACR'!A:A,0))*IF(I195&gt;0,IF(O195&gt;0,$R$4*MAX(O195-V195,0),0),0)/I195,2),0))</f>
        <v>0</v>
      </c>
      <c r="AI195" s="86">
        <f>IF(Y195="No",0,IFERROR(ROUNDDOWN(INDEX('90% of ACR'!R:R,MATCH(H:H,'90% of ACR'!A:A,0))*IF(J195&gt;0,IF(P195&gt;0,$R$4*MAX(P195-W195,0),0),0)/J195,2),0))</f>
        <v>0.59</v>
      </c>
      <c r="AJ195" s="45">
        <f t="shared" si="68"/>
        <v>0</v>
      </c>
      <c r="AK195" s="45">
        <f t="shared" si="68"/>
        <v>257075.768275813</v>
      </c>
      <c r="AL195" s="47">
        <f t="shared" si="69"/>
        <v>2.59</v>
      </c>
      <c r="AM195" s="47">
        <f t="shared" si="69"/>
        <v>1.44</v>
      </c>
      <c r="AN195" s="87">
        <f>IFERROR(INDEX(FeeCalc!P:P,MATCH(C195,FeeCalc!F:F,0)),0)</f>
        <v>790649.2575706332</v>
      </c>
      <c r="AO195" s="87">
        <f>IFERROR(INDEX(FeeCalc!S:S,MATCH(C195,FeeCalc!F:F,0)),0)</f>
        <v>49187.576795490226</v>
      </c>
      <c r="AP195" s="87">
        <f t="shared" si="70"/>
        <v>839836.83436612342</v>
      </c>
      <c r="AQ195" s="72">
        <f t="shared" si="71"/>
        <v>356369.64360024594</v>
      </c>
      <c r="AR195" s="72">
        <f t="shared" si="72"/>
        <v>178184.82180012297</v>
      </c>
      <c r="AS195" s="72">
        <f t="shared" si="73"/>
        <v>178184.82180012297</v>
      </c>
      <c r="AT195" s="72">
        <f>IFERROR(IFERROR(INDEX('2023 IP UPL Data'!L:L,MATCH(A:A,'2023 IP UPL Data'!B:B,0)),INDEX('2023 IMD UPL Data'!I:I,MATCH(A:A,'2023 IMD UPL Data'!B:B,0))),0)</f>
        <v>38032.801470588252</v>
      </c>
      <c r="AU195" s="72">
        <f>IFERROR(IF(F193="IMD",0,INDEX('2023 OP UPL Data'!J:J,MATCH(A:A,'2023 OP UPL Data'!B:B,0))),0)</f>
        <v>181981.49264705883</v>
      </c>
      <c r="AV195" s="45">
        <f t="shared" si="74"/>
        <v>220014.29411764708</v>
      </c>
      <c r="AW195" s="72">
        <f>IFERROR(IFERROR(INDEX('2023 IP UPL Data'!M:M,MATCH(A:A,'2023 IP UPL Data'!B:B,0)),INDEX('2023 IMD UPL Data'!K:K,MATCH(A:A,'2023 IMD UPL Data'!B:B,0))),0)</f>
        <v>69809.210000000006</v>
      </c>
      <c r="AX195" s="72">
        <f>IFERROR(IF(F193="IMD",0,INDEX('2023 OP UPL Data'!L:L,MATCH(A:A,'2023 OP UPL Data'!B:B,0))),0)</f>
        <v>959930.14</v>
      </c>
      <c r="AY195" s="45">
        <f t="shared" si="75"/>
        <v>1029739.35</v>
      </c>
      <c r="AZ195" s="72">
        <v>150607.07445385875</v>
      </c>
      <c r="BA195" s="72">
        <v>1040273.0643755546</v>
      </c>
      <c r="BB195" s="72">
        <f t="shared" si="76"/>
        <v>0</v>
      </c>
      <c r="BC195" s="72">
        <f t="shared" si="76"/>
        <v>669909.66940192576</v>
      </c>
      <c r="BD195" s="72">
        <f t="shared" si="77"/>
        <v>657306.64953459322</v>
      </c>
      <c r="BE195" s="94">
        <f t="shared" si="78"/>
        <v>80797.86445385874</v>
      </c>
      <c r="BF195" s="94">
        <f t="shared" si="78"/>
        <v>80342.924375554547</v>
      </c>
      <c r="BG195" s="73">
        <f>IFERROR(INDEX('2023 IP UPL Data'!K:K,MATCH(A195,'2023 IP UPL Data'!B:B,0)),0)</f>
        <v>0</v>
      </c>
    </row>
    <row r="196" spans="1:59">
      <c r="A196" s="124" t="s">
        <v>1694</v>
      </c>
      <c r="B196" s="149" t="s">
        <v>3164</v>
      </c>
      <c r="C196" s="31" t="s">
        <v>1696</v>
      </c>
      <c r="D196" s="181" t="s">
        <v>1696</v>
      </c>
      <c r="E196" s="144" t="s">
        <v>3518</v>
      </c>
      <c r="F196" s="120" t="s">
        <v>2718</v>
      </c>
      <c r="G196" s="120" t="s">
        <v>300</v>
      </c>
      <c r="H196" s="43" t="str">
        <f t="shared" si="58"/>
        <v>Urban Harris</v>
      </c>
      <c r="I196" s="45">
        <f>INDEX(FeeCalc!M:M,MATCH(C:C,FeeCalc!F:F,0))</f>
        <v>2389640.7171200467</v>
      </c>
      <c r="J196" s="45">
        <f>INDEX(FeeCalc!L:L,MATCH(C:C,FeeCalc!F:F,0))</f>
        <v>1558782.9958120552</v>
      </c>
      <c r="K196" s="45">
        <f t="shared" si="59"/>
        <v>3948423.7129321019</v>
      </c>
      <c r="L196" s="45">
        <f>IFERROR(IFERROR(INDEX('2023 IP UPL Data'!N:N,MATCH(A:A,'2023 IP UPL Data'!B:B,0)),INDEX('2023 IMD UPL Data'!M:M,MATCH(A:A,'2023 IMD UPL Data'!B:B,0))),0)</f>
        <v>2560708.5639705877</v>
      </c>
      <c r="M196" s="45">
        <f>IFERROR((IF(F196="IMD",0,INDEX('2023 OP UPL Data'!M:M,MATCH(A:A,'2023 OP UPL Data'!B:B,0)))),0)</f>
        <v>1789230.4408823529</v>
      </c>
      <c r="N196" s="45">
        <f t="shared" si="60"/>
        <v>4349939.0048529403</v>
      </c>
      <c r="O196" s="45">
        <v>4231127.210813012</v>
      </c>
      <c r="P196" s="45">
        <v>1977220.4590984823</v>
      </c>
      <c r="Q196" s="45">
        <f t="shared" si="61"/>
        <v>6208347.6699114945</v>
      </c>
      <c r="R196" s="45" t="str">
        <f t="shared" si="62"/>
        <v>Yes</v>
      </c>
      <c r="S196" s="46" t="str">
        <f t="shared" si="62"/>
        <v>Yes</v>
      </c>
      <c r="T196" s="47">
        <f>ROUND(INDEX(Summary!H:H,MATCH(H:H,Summary!A:A,0)),2)</f>
        <v>2.59</v>
      </c>
      <c r="U196" s="47">
        <f>ROUND(INDEX(Summary!I:I,MATCH(H:H,Summary!A:A,0)),2)</f>
        <v>0.85</v>
      </c>
      <c r="V196" s="85">
        <f t="shared" si="63"/>
        <v>6189169.4573409203</v>
      </c>
      <c r="W196" s="85">
        <f t="shared" si="63"/>
        <v>1324965.546440247</v>
      </c>
      <c r="X196" s="45">
        <f t="shared" si="64"/>
        <v>7514135.0037811678</v>
      </c>
      <c r="Y196" s="45" t="s">
        <v>3223</v>
      </c>
      <c r="Z196" s="45" t="str">
        <f t="shared" si="65"/>
        <v>No</v>
      </c>
      <c r="AA196" s="45" t="str">
        <f t="shared" si="65"/>
        <v>Yes</v>
      </c>
      <c r="AB196" s="45" t="str">
        <f t="shared" si="66"/>
        <v>Yes</v>
      </c>
      <c r="AC196" s="86">
        <f t="shared" si="79"/>
        <v>0</v>
      </c>
      <c r="AD196" s="86">
        <f t="shared" si="80"/>
        <v>0.28999999999999998</v>
      </c>
      <c r="AE196" s="45">
        <f t="shared" si="81"/>
        <v>0</v>
      </c>
      <c r="AF196" s="45">
        <f t="shared" si="81"/>
        <v>452047.068785496</v>
      </c>
      <c r="AG196" s="45">
        <f t="shared" si="67"/>
        <v>452047.068785496</v>
      </c>
      <c r="AH196" s="47">
        <f>IF(Y196="No",0,IFERROR(ROUNDDOWN(INDEX('90% of ACR'!K:K,MATCH(H:H,'90% of ACR'!A:A,0))*IF(I196&gt;0,IF(O196&gt;0,$R$4*MAX(O196-V196,0),0),0)/I196,2),0))</f>
        <v>0</v>
      </c>
      <c r="AI196" s="86">
        <f>IF(Y196="No",0,IFERROR(ROUNDDOWN(INDEX('90% of ACR'!R:R,MATCH(H:H,'90% of ACR'!A:A,0))*IF(J196&gt;0,IF(P196&gt;0,$R$4*MAX(P196-W196,0),0),0)/J196,2),0))</f>
        <v>0.22</v>
      </c>
      <c r="AJ196" s="45">
        <f t="shared" si="68"/>
        <v>0</v>
      </c>
      <c r="AK196" s="45">
        <f t="shared" si="68"/>
        <v>342932.25907865213</v>
      </c>
      <c r="AL196" s="47">
        <f t="shared" si="69"/>
        <v>2.59</v>
      </c>
      <c r="AM196" s="47">
        <f t="shared" si="69"/>
        <v>1.07</v>
      </c>
      <c r="AN196" s="87">
        <f>IFERROR(INDEX(FeeCalc!P:P,MATCH(C196,FeeCalc!F:F,0)),0)</f>
        <v>7857067.2628598195</v>
      </c>
      <c r="AO196" s="87">
        <f>IFERROR(INDEX(FeeCalc!S:S,MATCH(C196,FeeCalc!F:F,0)),0)</f>
        <v>486796.73102103453</v>
      </c>
      <c r="AP196" s="87">
        <f t="shared" si="70"/>
        <v>8343863.993880854</v>
      </c>
      <c r="AQ196" s="72">
        <f t="shared" si="71"/>
        <v>3540568.4962514513</v>
      </c>
      <c r="AR196" s="72">
        <f t="shared" si="72"/>
        <v>1770284.2481257257</v>
      </c>
      <c r="AS196" s="72">
        <f t="shared" si="73"/>
        <v>1770284.2481257257</v>
      </c>
      <c r="AT196" s="72">
        <f>IFERROR(IFERROR(INDEX('2023 IP UPL Data'!L:L,MATCH(A:A,'2023 IP UPL Data'!B:B,0)),INDEX('2023 IMD UPL Data'!I:I,MATCH(A:A,'2023 IMD UPL Data'!B:B,0))),0)</f>
        <v>2012354.8860294125</v>
      </c>
      <c r="AU196" s="72">
        <f>IFERROR(IF(F194="IMD",0,INDEX('2023 OP UPL Data'!J:J,MATCH(A:A,'2023 OP UPL Data'!B:B,0))),0)</f>
        <v>796854.16911764699</v>
      </c>
      <c r="AV196" s="45">
        <f t="shared" si="74"/>
        <v>2809209.0551470593</v>
      </c>
      <c r="AW196" s="72">
        <f>IFERROR(IFERROR(INDEX('2023 IP UPL Data'!M:M,MATCH(A:A,'2023 IP UPL Data'!B:B,0)),INDEX('2023 IMD UPL Data'!K:K,MATCH(A:A,'2023 IMD UPL Data'!B:B,0))),0)</f>
        <v>4573063.45</v>
      </c>
      <c r="AX196" s="72">
        <f>IFERROR(IF(F194="IMD",0,INDEX('2023 OP UPL Data'!L:L,MATCH(A:A,'2023 OP UPL Data'!B:B,0))),0)</f>
        <v>2586084.61</v>
      </c>
      <c r="AY196" s="45">
        <f t="shared" si="75"/>
        <v>7159148.0600000005</v>
      </c>
      <c r="AZ196" s="72">
        <v>6243482.0968424249</v>
      </c>
      <c r="BA196" s="72">
        <v>2774074.6282161293</v>
      </c>
      <c r="BB196" s="72">
        <f t="shared" si="76"/>
        <v>54312.6395015046</v>
      </c>
      <c r="BC196" s="72">
        <f t="shared" si="76"/>
        <v>1449109.0817758823</v>
      </c>
      <c r="BD196" s="72">
        <f t="shared" si="77"/>
        <v>1503421.721277386</v>
      </c>
      <c r="BE196" s="94">
        <f t="shared" si="78"/>
        <v>1670418.6468424248</v>
      </c>
      <c r="BF196" s="94">
        <f t="shared" si="78"/>
        <v>187990.01821612939</v>
      </c>
      <c r="BG196" s="73">
        <f>IFERROR(INDEX('2023 IP UPL Data'!K:K,MATCH(A196,'2023 IP UPL Data'!B:B,0)),0)</f>
        <v>0</v>
      </c>
    </row>
    <row r="197" spans="1:59">
      <c r="A197" s="124" t="s">
        <v>419</v>
      </c>
      <c r="B197" s="149" t="s">
        <v>419</v>
      </c>
      <c r="C197" s="31" t="s">
        <v>420</v>
      </c>
      <c r="D197" s="181" t="s">
        <v>420</v>
      </c>
      <c r="E197" s="144" t="s">
        <v>3519</v>
      </c>
      <c r="F197" s="120" t="s">
        <v>2718</v>
      </c>
      <c r="G197" s="120" t="s">
        <v>300</v>
      </c>
      <c r="H197" s="43" t="str">
        <f t="shared" si="58"/>
        <v>Urban Harris</v>
      </c>
      <c r="I197" s="45">
        <f>INDEX(FeeCalc!M:M,MATCH(C:C,FeeCalc!F:F,0))</f>
        <v>537860.66372835287</v>
      </c>
      <c r="J197" s="45">
        <f>INDEX(FeeCalc!L:L,MATCH(C:C,FeeCalc!F:F,0))</f>
        <v>221033.59803424129</v>
      </c>
      <c r="K197" s="45">
        <f t="shared" si="59"/>
        <v>758894.26176259411</v>
      </c>
      <c r="L197" s="45">
        <f>IFERROR(IFERROR(INDEX('2023 IP UPL Data'!N:N,MATCH(A:A,'2023 IP UPL Data'!B:B,0)),INDEX('2023 IMD UPL Data'!M:M,MATCH(A:A,'2023 IMD UPL Data'!B:B,0))),0)</f>
        <v>1013555.0557352941</v>
      </c>
      <c r="M197" s="45">
        <f>IFERROR((IF(F197="IMD",0,INDEX('2023 OP UPL Data'!M:M,MATCH(A:A,'2023 OP UPL Data'!B:B,0)))),0)</f>
        <v>973182.98088235292</v>
      </c>
      <c r="N197" s="45">
        <f t="shared" si="60"/>
        <v>1986738.0366176469</v>
      </c>
      <c r="O197" s="45">
        <v>1668813.8399927802</v>
      </c>
      <c r="P197" s="45">
        <v>948741.69637439726</v>
      </c>
      <c r="Q197" s="45">
        <f t="shared" si="61"/>
        <v>2617555.5363671775</v>
      </c>
      <c r="R197" s="45" t="str">
        <f t="shared" si="62"/>
        <v>Yes</v>
      </c>
      <c r="S197" s="46" t="str">
        <f t="shared" si="62"/>
        <v>Yes</v>
      </c>
      <c r="T197" s="47">
        <f>ROUND(INDEX(Summary!H:H,MATCH(H:H,Summary!A:A,0)),2)</f>
        <v>2.59</v>
      </c>
      <c r="U197" s="47">
        <f>ROUND(INDEX(Summary!I:I,MATCH(H:H,Summary!A:A,0)),2)</f>
        <v>0.85</v>
      </c>
      <c r="V197" s="85">
        <f t="shared" si="63"/>
        <v>1393059.1190564339</v>
      </c>
      <c r="W197" s="85">
        <f t="shared" si="63"/>
        <v>187878.55832910509</v>
      </c>
      <c r="X197" s="45">
        <f t="shared" si="64"/>
        <v>1580937.677385539</v>
      </c>
      <c r="Y197" s="45" t="s">
        <v>3223</v>
      </c>
      <c r="Z197" s="45" t="str">
        <f t="shared" si="65"/>
        <v>No</v>
      </c>
      <c r="AA197" s="45" t="str">
        <f t="shared" si="65"/>
        <v>Yes</v>
      </c>
      <c r="AB197" s="45" t="str">
        <f t="shared" si="66"/>
        <v>Yes</v>
      </c>
      <c r="AC197" s="86">
        <f t="shared" si="79"/>
        <v>0.36</v>
      </c>
      <c r="AD197" s="86">
        <f t="shared" si="80"/>
        <v>2.4</v>
      </c>
      <c r="AE197" s="45">
        <f t="shared" si="81"/>
        <v>193629.83894220702</v>
      </c>
      <c r="AF197" s="45">
        <f t="shared" si="81"/>
        <v>530480.63528217911</v>
      </c>
      <c r="AG197" s="45">
        <f t="shared" si="67"/>
        <v>724110.47422438615</v>
      </c>
      <c r="AH197" s="47">
        <f>IF(Y197="No",0,IFERROR(ROUNDDOWN(INDEX('90% of ACR'!K:K,MATCH(H:H,'90% of ACR'!A:A,0))*IF(I197&gt;0,IF(O197&gt;0,$R$4*MAX(O197-V197,0),0),0)/I197,2),0))</f>
        <v>0</v>
      </c>
      <c r="AI197" s="86">
        <f>IF(Y197="No",0,IFERROR(ROUNDDOWN(INDEX('90% of ACR'!R:R,MATCH(H:H,'90% of ACR'!A:A,0))*IF(J197&gt;0,IF(P197&gt;0,$R$4*MAX(P197-W197,0),0),0)/J197,2),0))</f>
        <v>1.82</v>
      </c>
      <c r="AJ197" s="45">
        <f t="shared" si="68"/>
        <v>0</v>
      </c>
      <c r="AK197" s="45">
        <f t="shared" si="68"/>
        <v>402281.14842231915</v>
      </c>
      <c r="AL197" s="47">
        <f t="shared" si="69"/>
        <v>2.59</v>
      </c>
      <c r="AM197" s="47">
        <f t="shared" si="69"/>
        <v>2.67</v>
      </c>
      <c r="AN197" s="87">
        <f>IFERROR(INDEX(FeeCalc!P:P,MATCH(C197,FeeCalc!F:F,0)),0)</f>
        <v>1983218.8258078583</v>
      </c>
      <c r="AO197" s="87">
        <f>IFERROR(INDEX(FeeCalc!S:S,MATCH(C197,FeeCalc!F:F,0)),0)</f>
        <v>125791.03420226056</v>
      </c>
      <c r="AP197" s="87">
        <f t="shared" si="70"/>
        <v>2109009.8600101187</v>
      </c>
      <c r="AQ197" s="72">
        <f t="shared" si="71"/>
        <v>894920.37191781378</v>
      </c>
      <c r="AR197" s="72">
        <f t="shared" si="72"/>
        <v>447460.18595890689</v>
      </c>
      <c r="AS197" s="72">
        <f t="shared" si="73"/>
        <v>447460.18595890689</v>
      </c>
      <c r="AT197" s="72">
        <f>IFERROR(IFERROR(INDEX('2023 IP UPL Data'!L:L,MATCH(A:A,'2023 IP UPL Data'!B:B,0)),INDEX('2023 IMD UPL Data'!I:I,MATCH(A:A,'2023 IMD UPL Data'!B:B,0))),0)</f>
        <v>413420.9742647059</v>
      </c>
      <c r="AU197" s="72">
        <f>IFERROR(IF(F195="IMD",0,INDEX('2023 OP UPL Data'!J:J,MATCH(A:A,'2023 OP UPL Data'!B:B,0))),0)</f>
        <v>136061.16911764705</v>
      </c>
      <c r="AV197" s="45">
        <f t="shared" si="74"/>
        <v>549482.14338235301</v>
      </c>
      <c r="AW197" s="72">
        <f>IFERROR(IFERROR(INDEX('2023 IP UPL Data'!M:M,MATCH(A:A,'2023 IP UPL Data'!B:B,0)),INDEX('2023 IMD UPL Data'!K:K,MATCH(A:A,'2023 IMD UPL Data'!B:B,0))),0)</f>
        <v>1426976.03</v>
      </c>
      <c r="AX197" s="72">
        <f>IFERROR(IF(F195="IMD",0,INDEX('2023 OP UPL Data'!L:L,MATCH(A:A,'2023 OP UPL Data'!B:B,0))),0)</f>
        <v>1109244.1499999999</v>
      </c>
      <c r="AY197" s="45">
        <f t="shared" si="75"/>
        <v>2536220.1799999997</v>
      </c>
      <c r="AZ197" s="72">
        <v>2082234.8142574863</v>
      </c>
      <c r="BA197" s="72">
        <v>1084802.8654920442</v>
      </c>
      <c r="BB197" s="72">
        <f t="shared" si="76"/>
        <v>689175.69520105235</v>
      </c>
      <c r="BC197" s="72">
        <f t="shared" si="76"/>
        <v>896924.30716293911</v>
      </c>
      <c r="BD197" s="72">
        <f t="shared" si="77"/>
        <v>1586100.0023639917</v>
      </c>
      <c r="BE197" s="94">
        <f t="shared" si="78"/>
        <v>655258.78425748623</v>
      </c>
      <c r="BF197" s="94">
        <f t="shared" si="78"/>
        <v>0</v>
      </c>
      <c r="BG197" s="73">
        <f>IFERROR(INDEX('2023 IP UPL Data'!K:K,MATCH(A197,'2023 IP UPL Data'!B:B,0)),0)</f>
        <v>0</v>
      </c>
    </row>
    <row r="198" spans="1:59">
      <c r="A198" s="124" t="s">
        <v>647</v>
      </c>
      <c r="B198" s="149" t="s">
        <v>647</v>
      </c>
      <c r="C198" s="31" t="s">
        <v>648</v>
      </c>
      <c r="D198" s="181" t="s">
        <v>648</v>
      </c>
      <c r="E198" s="144" t="s">
        <v>3520</v>
      </c>
      <c r="F198" s="120" t="s">
        <v>2718</v>
      </c>
      <c r="G198" s="120" t="s">
        <v>300</v>
      </c>
      <c r="H198" s="43" t="str">
        <f t="shared" ref="H198:H261" si="82">CONCATENATE(F198," ",G198)</f>
        <v>Urban Harris</v>
      </c>
      <c r="I198" s="45">
        <f>INDEX(FeeCalc!M:M,MATCH(C:C,FeeCalc!F:F,0))</f>
        <v>708951.04832212534</v>
      </c>
      <c r="J198" s="45">
        <f>INDEX(FeeCalc!L:L,MATCH(C:C,FeeCalc!F:F,0))</f>
        <v>1748252.8449726552</v>
      </c>
      <c r="K198" s="45">
        <f t="shared" ref="K198:K261" si="83">I198+J198</f>
        <v>2457203.8932947805</v>
      </c>
      <c r="L198" s="45">
        <f>IFERROR(IFERROR(INDEX('2023 IP UPL Data'!N:N,MATCH(A:A,'2023 IP UPL Data'!B:B,0)),INDEX('2023 IMD UPL Data'!M:M,MATCH(A:A,'2023 IMD UPL Data'!B:B,0))),0)</f>
        <v>1579801.1810294117</v>
      </c>
      <c r="M198" s="45">
        <f>IFERROR((IF(F198="IMD",0,INDEX('2023 OP UPL Data'!M:M,MATCH(A:A,'2023 OP UPL Data'!B:B,0)))),0)</f>
        <v>1301486.0030882354</v>
      </c>
      <c r="N198" s="45">
        <f t="shared" ref="N198:N261" si="84">+L198+M198</f>
        <v>2881287.1841176469</v>
      </c>
      <c r="O198" s="45">
        <v>1071051.7801071992</v>
      </c>
      <c r="P198" s="45">
        <v>1492773.3523063376</v>
      </c>
      <c r="Q198" s="45">
        <f t="shared" ref="Q198:Q261" si="85">O198+P198</f>
        <v>2563825.1324135368</v>
      </c>
      <c r="R198" s="45" t="str">
        <f t="shared" ref="R198:S261" si="86">IF(O198&gt;0,"Yes","No")</f>
        <v>Yes</v>
      </c>
      <c r="S198" s="46" t="str">
        <f t="shared" si="86"/>
        <v>Yes</v>
      </c>
      <c r="T198" s="47">
        <f>ROUND(INDEX(Summary!H:H,MATCH(H:H,Summary!A:A,0)),2)</f>
        <v>2.59</v>
      </c>
      <c r="U198" s="47">
        <f>ROUND(INDEX(Summary!I:I,MATCH(H:H,Summary!A:A,0)),2)</f>
        <v>0.85</v>
      </c>
      <c r="V198" s="85">
        <f t="shared" ref="V198:W261" si="87">+T198*I198</f>
        <v>1836183.2151543046</v>
      </c>
      <c r="W198" s="85">
        <f t="shared" si="87"/>
        <v>1486014.9182267569</v>
      </c>
      <c r="X198" s="45">
        <f t="shared" ref="X198:X261" si="88">+V198+W198</f>
        <v>3322198.1333810613</v>
      </c>
      <c r="Y198" s="45" t="s">
        <v>3223</v>
      </c>
      <c r="Z198" s="45" t="str">
        <f t="shared" ref="Z198:AA261" si="89">IF(AJ198&gt;0,"Yes","No")</f>
        <v>No</v>
      </c>
      <c r="AA198" s="45" t="str">
        <f t="shared" si="89"/>
        <v>No</v>
      </c>
      <c r="AB198" s="45" t="str">
        <f t="shared" ref="AB198:AB261" si="90">IF(AG198&gt;0,"Yes","No")</f>
        <v>No</v>
      </c>
      <c r="AC198" s="86">
        <f t="shared" si="79"/>
        <v>0</v>
      </c>
      <c r="AD198" s="86">
        <f t="shared" si="80"/>
        <v>0</v>
      </c>
      <c r="AE198" s="45">
        <f t="shared" si="81"/>
        <v>0</v>
      </c>
      <c r="AF198" s="45">
        <f t="shared" si="81"/>
        <v>0</v>
      </c>
      <c r="AG198" s="45">
        <f t="shared" ref="AG198:AG261" si="91">AE198+AF198</f>
        <v>0</v>
      </c>
      <c r="AH198" s="47">
        <f>IF(Y198="No",0,IFERROR(ROUNDDOWN(INDEX('90% of ACR'!K:K,MATCH(H:H,'90% of ACR'!A:A,0))*IF(I198&gt;0,IF(O198&gt;0,$R$4*MAX(O198-V198,0),0),0)/I198,2),0))</f>
        <v>0</v>
      </c>
      <c r="AI198" s="86">
        <f>IF(Y198="No",0,IFERROR(ROUNDDOWN(INDEX('90% of ACR'!R:R,MATCH(H:H,'90% of ACR'!A:A,0))*IF(J198&gt;0,IF(P198&gt;0,$R$4*MAX(P198-W198,0),0),0)/J198,2),0))</f>
        <v>0</v>
      </c>
      <c r="AJ198" s="45">
        <f t="shared" ref="AJ198:AK261" si="92">I198*AH198</f>
        <v>0</v>
      </c>
      <c r="AK198" s="45">
        <f t="shared" si="92"/>
        <v>0</v>
      </c>
      <c r="AL198" s="47">
        <f t="shared" ref="AL198:AM261" si="93">T198+AH198</f>
        <v>2.59</v>
      </c>
      <c r="AM198" s="47">
        <f t="shared" si="93"/>
        <v>0.85</v>
      </c>
      <c r="AN198" s="87">
        <f>IFERROR(INDEX(FeeCalc!P:P,MATCH(C198,FeeCalc!F:F,0)),0)</f>
        <v>3322198.1333810613</v>
      </c>
      <c r="AO198" s="87">
        <f>IFERROR(INDEX(FeeCalc!S:S,MATCH(C198,FeeCalc!F:F,0)),0)</f>
        <v>206594.96072835184</v>
      </c>
      <c r="AP198" s="87">
        <f t="shared" ref="AP198:AP261" si="94">AN198+AO198</f>
        <v>3528793.0941094132</v>
      </c>
      <c r="AQ198" s="72">
        <f t="shared" ref="AQ198:AQ261" si="95">$AQ$3*AP198*1.08</f>
        <v>1497379.8312096356</v>
      </c>
      <c r="AR198" s="72">
        <f t="shared" ref="AR198:AR261" si="96">AQ198*0.5</f>
        <v>748689.9156048178</v>
      </c>
      <c r="AS198" s="72">
        <f t="shared" ref="AS198:AS261" si="97">AR198</f>
        <v>748689.9156048178</v>
      </c>
      <c r="AT198" s="72">
        <f>IFERROR(IFERROR(INDEX('2023 IP UPL Data'!L:L,MATCH(A:A,'2023 IP UPL Data'!B:B,0)),INDEX('2023 IMD UPL Data'!I:I,MATCH(A:A,'2023 IMD UPL Data'!B:B,0))),0)</f>
        <v>751076.23897058819</v>
      </c>
      <c r="AU198" s="72">
        <f>IFERROR(IF(F196="IMD",0,INDEX('2023 OP UPL Data'!J:J,MATCH(A:A,'2023 OP UPL Data'!B:B,0))),0)</f>
        <v>1118716.2169117648</v>
      </c>
      <c r="AV198" s="45">
        <f t="shared" ref="AV198:AV261" si="98">AT198+AU198</f>
        <v>1869792.455882353</v>
      </c>
      <c r="AW198" s="72">
        <f>IFERROR(IFERROR(INDEX('2023 IP UPL Data'!M:M,MATCH(A:A,'2023 IP UPL Data'!B:B,0)),INDEX('2023 IMD UPL Data'!K:K,MATCH(A:A,'2023 IMD UPL Data'!B:B,0))),0)</f>
        <v>2330877.42</v>
      </c>
      <c r="AX198" s="72">
        <f>IFERROR(IF(F196="IMD",0,INDEX('2023 OP UPL Data'!L:L,MATCH(A:A,'2023 OP UPL Data'!B:B,0))),0)</f>
        <v>2420202.2200000002</v>
      </c>
      <c r="AY198" s="45">
        <f t="shared" ref="AY198:AY261" si="99">AW198+AX198</f>
        <v>4751079.6400000006</v>
      </c>
      <c r="AZ198" s="72">
        <v>1822128.0190777874</v>
      </c>
      <c r="BA198" s="72">
        <v>2611489.5692181024</v>
      </c>
      <c r="BB198" s="72">
        <f t="shared" ref="BB198:BC261" si="100">IF(AZ198&gt;V198,AZ198-V198,0)</f>
        <v>0</v>
      </c>
      <c r="BC198" s="72">
        <f t="shared" si="100"/>
        <v>1125474.6509913455</v>
      </c>
      <c r="BD198" s="72">
        <f t="shared" ref="BD198:BD261" si="101">IF(AZ198+BA198&gt;X198,AZ198+BA198-X198,0)</f>
        <v>1111419.4549148288</v>
      </c>
      <c r="BE198" s="94">
        <f t="shared" ref="BE198:BF261" si="102">IF(AZ198&gt;AW198,AZ198-AW198,0)</f>
        <v>0</v>
      </c>
      <c r="BF198" s="94">
        <f t="shared" si="102"/>
        <v>191287.34921810217</v>
      </c>
      <c r="BG198" s="73">
        <f>IFERROR(INDEX('2023 IP UPL Data'!K:K,MATCH(A198,'2023 IP UPL Data'!B:B,0)),0)</f>
        <v>0</v>
      </c>
    </row>
    <row r="199" spans="1:59">
      <c r="A199" s="124" t="s">
        <v>853</v>
      </c>
      <c r="B199" s="149" t="s">
        <v>853</v>
      </c>
      <c r="C199" s="31" t="s">
        <v>854</v>
      </c>
      <c r="D199" s="181" t="s">
        <v>854</v>
      </c>
      <c r="E199" s="144" t="s">
        <v>3521</v>
      </c>
      <c r="F199" s="120" t="s">
        <v>2768</v>
      </c>
      <c r="G199" s="120" t="s">
        <v>310</v>
      </c>
      <c r="H199" s="43" t="str">
        <f t="shared" si="82"/>
        <v>Rural MRSA Northeast</v>
      </c>
      <c r="I199" s="45">
        <f>INDEX(FeeCalc!M:M,MATCH(C:C,FeeCalc!F:F,0))</f>
        <v>4072715.1291768486</v>
      </c>
      <c r="J199" s="45">
        <f>INDEX(FeeCalc!L:L,MATCH(C:C,FeeCalc!F:F,0))</f>
        <v>3709756.4179216367</v>
      </c>
      <c r="K199" s="45">
        <f t="shared" si="83"/>
        <v>7782471.5470984858</v>
      </c>
      <c r="L199" s="45">
        <f>IFERROR(IFERROR(INDEX('2023 IP UPL Data'!N:N,MATCH(A:A,'2023 IP UPL Data'!B:B,0)),INDEX('2023 IMD UPL Data'!M:M,MATCH(A:A,'2023 IMD UPL Data'!B:B,0))),0)</f>
        <v>-44297.235522505827</v>
      </c>
      <c r="M199" s="45">
        <f>IFERROR((IF(F199="IMD",0,INDEX('2023 OP UPL Data'!M:M,MATCH(A:A,'2023 OP UPL Data'!B:B,0)))),0)</f>
        <v>2369965.8533333335</v>
      </c>
      <c r="N199" s="45">
        <f t="shared" si="84"/>
        <v>2325668.6178108277</v>
      </c>
      <c r="O199" s="45">
        <v>788335.12885420118</v>
      </c>
      <c r="P199" s="45">
        <v>3396884.2768755145</v>
      </c>
      <c r="Q199" s="45">
        <f t="shared" si="85"/>
        <v>4185219.4057297157</v>
      </c>
      <c r="R199" s="45" t="str">
        <f t="shared" si="86"/>
        <v>Yes</v>
      </c>
      <c r="S199" s="46" t="str">
        <f t="shared" si="86"/>
        <v>Yes</v>
      </c>
      <c r="T199" s="47">
        <f>ROUND(INDEX(Summary!H:H,MATCH(H:H,Summary!A:A,0)),2)</f>
        <v>0.16</v>
      </c>
      <c r="U199" s="47">
        <f>ROUND(INDEX(Summary!I:I,MATCH(H:H,Summary!A:A,0)),2)</f>
        <v>0.42</v>
      </c>
      <c r="V199" s="85">
        <f t="shared" si="87"/>
        <v>651634.42066829582</v>
      </c>
      <c r="W199" s="85">
        <f t="shared" si="87"/>
        <v>1558097.6955270874</v>
      </c>
      <c r="X199" s="45">
        <f t="shared" si="88"/>
        <v>2209732.1161953835</v>
      </c>
      <c r="Y199" s="45" t="s">
        <v>3223</v>
      </c>
      <c r="Z199" s="45" t="str">
        <f t="shared" si="89"/>
        <v>Yes</v>
      </c>
      <c r="AA199" s="45" t="str">
        <f t="shared" si="89"/>
        <v>Yes</v>
      </c>
      <c r="AB199" s="45" t="str">
        <f t="shared" si="90"/>
        <v>Yes</v>
      </c>
      <c r="AC199" s="86">
        <f t="shared" ref="AC199:AC262" si="103">IF(Y199="No",0,IFERROR(ROUND(IF(I199&gt;0,IF(O199&gt;0,$R$4*MAX(O199-V199,0),0),0)/I199,2),0))</f>
        <v>0.02</v>
      </c>
      <c r="AD199" s="86">
        <f t="shared" ref="AD199:AD262" si="104">IF(Y199="No",0,IFERROR(ROUND(IF(J199&gt;0,IF(P199&gt;0,$R$4*MAX(P199-W199,0),0),0)/J199,2),0))</f>
        <v>0.35</v>
      </c>
      <c r="AE199" s="45">
        <f t="shared" ref="AE199:AF262" si="105">AC199*I199</f>
        <v>81454.302583536977</v>
      </c>
      <c r="AF199" s="45">
        <f t="shared" si="105"/>
        <v>1298414.7462725728</v>
      </c>
      <c r="AG199" s="45">
        <f t="shared" si="91"/>
        <v>1379869.0488561098</v>
      </c>
      <c r="AH199" s="47">
        <f>IF(Y199="No",0,IFERROR(ROUNDDOWN(INDEX('90% of ACR'!K:K,MATCH(H:H,'90% of ACR'!A:A,0))*IF(I199&gt;0,IF(O199&gt;0,$R$4*MAX(O199-V199,0),0),0)/I199,2),0))</f>
        <v>0.01</v>
      </c>
      <c r="AI199" s="86">
        <f>IF(Y199="No",0,IFERROR(ROUNDDOWN(INDEX('90% of ACR'!R:R,MATCH(H:H,'90% of ACR'!A:A,0))*IF(J199&gt;0,IF(P199&gt;0,$R$4*MAX(P199-W199,0),0),0)/J199,2),0))</f>
        <v>0.34</v>
      </c>
      <c r="AJ199" s="45">
        <f t="shared" si="92"/>
        <v>40727.151291768489</v>
      </c>
      <c r="AK199" s="45">
        <f t="shared" si="92"/>
        <v>1261317.1820933565</v>
      </c>
      <c r="AL199" s="47">
        <f t="shared" si="93"/>
        <v>0.17</v>
      </c>
      <c r="AM199" s="47">
        <f t="shared" si="93"/>
        <v>0.76</v>
      </c>
      <c r="AN199" s="87">
        <f>IFERROR(INDEX(FeeCalc!P:P,MATCH(C199,FeeCalc!F:F,0)),0)</f>
        <v>3511776.4495805083</v>
      </c>
      <c r="AO199" s="87">
        <f>IFERROR(INDEX(FeeCalc!S:S,MATCH(C199,FeeCalc!F:F,0)),0)</f>
        <v>217189.74685547769</v>
      </c>
      <c r="AP199" s="87">
        <f t="shared" si="94"/>
        <v>3728966.1964359861</v>
      </c>
      <c r="AQ199" s="72">
        <f t="shared" si="95"/>
        <v>1582319.6840660751</v>
      </c>
      <c r="AR199" s="72">
        <f t="shared" si="96"/>
        <v>791159.84203303757</v>
      </c>
      <c r="AS199" s="72">
        <f t="shared" si="97"/>
        <v>791159.84203303757</v>
      </c>
      <c r="AT199" s="72">
        <f>IFERROR(IFERROR(INDEX('2023 IP UPL Data'!L:L,MATCH(A:A,'2023 IP UPL Data'!B:B,0)),INDEX('2023 IMD UPL Data'!I:I,MATCH(A:A,'2023 IMD UPL Data'!B:B,0))),0)</f>
        <v>5991233.2755225059</v>
      </c>
      <c r="AU199" s="72">
        <f>IFERROR(IF(F197="IMD",0,INDEX('2023 OP UPL Data'!J:J,MATCH(A:A,'2023 OP UPL Data'!B:B,0))),0)</f>
        <v>1339350.3066666669</v>
      </c>
      <c r="AV199" s="45">
        <f t="shared" si="98"/>
        <v>7330583.5821891725</v>
      </c>
      <c r="AW199" s="72">
        <f>IFERROR(IFERROR(INDEX('2023 IP UPL Data'!M:M,MATCH(A:A,'2023 IP UPL Data'!B:B,0)),INDEX('2023 IMD UPL Data'!K:K,MATCH(A:A,'2023 IMD UPL Data'!B:B,0))),0)</f>
        <v>5946936.04</v>
      </c>
      <c r="AX199" s="72">
        <f>IFERROR(IF(F197="IMD",0,INDEX('2023 OP UPL Data'!L:L,MATCH(A:A,'2023 OP UPL Data'!B:B,0))),0)</f>
        <v>3709316.16</v>
      </c>
      <c r="AY199" s="45">
        <f t="shared" si="99"/>
        <v>9656252.1999999993</v>
      </c>
      <c r="AZ199" s="72">
        <v>6779568.404376707</v>
      </c>
      <c r="BA199" s="72">
        <v>4736234.5835421812</v>
      </c>
      <c r="BB199" s="72">
        <f t="shared" si="100"/>
        <v>6127933.9837084115</v>
      </c>
      <c r="BC199" s="72">
        <f t="shared" si="100"/>
        <v>3178136.8880150937</v>
      </c>
      <c r="BD199" s="72">
        <f t="shared" si="101"/>
        <v>9306070.8717235029</v>
      </c>
      <c r="BE199" s="94">
        <f t="shared" si="102"/>
        <v>832632.364376707</v>
      </c>
      <c r="BF199" s="94">
        <f t="shared" si="102"/>
        <v>1026918.423542181</v>
      </c>
      <c r="BG199" s="73">
        <f>IFERROR(INDEX('2023 IP UPL Data'!K:K,MATCH(A199,'2023 IP UPL Data'!B:B,0)),0)</f>
        <v>0</v>
      </c>
    </row>
    <row r="200" spans="1:59">
      <c r="A200" s="124" t="s">
        <v>847</v>
      </c>
      <c r="B200" s="149" t="s">
        <v>847</v>
      </c>
      <c r="C200" s="31" t="s">
        <v>848</v>
      </c>
      <c r="D200" s="181" t="s">
        <v>848</v>
      </c>
      <c r="E200" s="144" t="s">
        <v>3522</v>
      </c>
      <c r="F200" s="120" t="s">
        <v>2768</v>
      </c>
      <c r="G200" s="120" t="s">
        <v>1555</v>
      </c>
      <c r="H200" s="43" t="str">
        <f t="shared" si="82"/>
        <v>Rural Jefferson</v>
      </c>
      <c r="I200" s="45">
        <f>INDEX(FeeCalc!M:M,MATCH(C:C,FeeCalc!F:F,0))</f>
        <v>1559959.2131079051</v>
      </c>
      <c r="J200" s="45">
        <f>INDEX(FeeCalc!L:L,MATCH(C:C,FeeCalc!F:F,0))</f>
        <v>2257076.8254430839</v>
      </c>
      <c r="K200" s="45">
        <f t="shared" si="83"/>
        <v>3817036.0385509888</v>
      </c>
      <c r="L200" s="45">
        <f>IFERROR(IFERROR(INDEX('2023 IP UPL Data'!N:N,MATCH(A:A,'2023 IP UPL Data'!B:B,0)),INDEX('2023 IMD UPL Data'!M:M,MATCH(A:A,'2023 IMD UPL Data'!B:B,0))),0)</f>
        <v>-295192.98700666986</v>
      </c>
      <c r="M200" s="45">
        <f>IFERROR((IF(F200="IMD",0,INDEX('2023 OP UPL Data'!M:M,MATCH(A:A,'2023 OP UPL Data'!B:B,0)))),0)</f>
        <v>1277684.6265454546</v>
      </c>
      <c r="N200" s="45">
        <f t="shared" si="84"/>
        <v>982491.63953878474</v>
      </c>
      <c r="O200" s="45">
        <v>23939.147583257873</v>
      </c>
      <c r="P200" s="45">
        <v>3396621.350612835</v>
      </c>
      <c r="Q200" s="45">
        <f t="shared" si="85"/>
        <v>3420560.4981960929</v>
      </c>
      <c r="R200" s="45" t="str">
        <f t="shared" si="86"/>
        <v>Yes</v>
      </c>
      <c r="S200" s="46" t="str">
        <f t="shared" si="86"/>
        <v>Yes</v>
      </c>
      <c r="T200" s="47">
        <f>ROUND(INDEX(Summary!H:H,MATCH(H:H,Summary!A:A,0)),2)</f>
        <v>0</v>
      </c>
      <c r="U200" s="47">
        <f>ROUND(INDEX(Summary!I:I,MATCH(H:H,Summary!A:A,0)),2)</f>
        <v>0.39</v>
      </c>
      <c r="V200" s="85">
        <f t="shared" si="87"/>
        <v>0</v>
      </c>
      <c r="W200" s="85">
        <f t="shared" si="87"/>
        <v>880259.96192280273</v>
      </c>
      <c r="X200" s="45">
        <f t="shared" si="88"/>
        <v>880259.96192280273</v>
      </c>
      <c r="Y200" s="45" t="s">
        <v>3223</v>
      </c>
      <c r="Z200" s="45" t="str">
        <f t="shared" si="89"/>
        <v>No</v>
      </c>
      <c r="AA200" s="45" t="str">
        <f t="shared" si="89"/>
        <v>Yes</v>
      </c>
      <c r="AB200" s="45" t="str">
        <f t="shared" si="90"/>
        <v>Yes</v>
      </c>
      <c r="AC200" s="86">
        <f t="shared" si="103"/>
        <v>0.01</v>
      </c>
      <c r="AD200" s="86">
        <f t="shared" si="104"/>
        <v>0.78</v>
      </c>
      <c r="AE200" s="45">
        <f t="shared" si="105"/>
        <v>15599.592131079051</v>
      </c>
      <c r="AF200" s="45">
        <f t="shared" si="105"/>
        <v>1760519.9238456055</v>
      </c>
      <c r="AG200" s="45">
        <f t="shared" si="91"/>
        <v>1776119.5159766844</v>
      </c>
      <c r="AH200" s="47">
        <f>IF(Y200="No",0,IFERROR(ROUNDDOWN(INDEX('90% of ACR'!K:K,MATCH(H:H,'90% of ACR'!A:A,0))*IF(I200&gt;0,IF(O200&gt;0,$R$4*MAX(O200-V200,0),0),0)/I200,2),0))</f>
        <v>0</v>
      </c>
      <c r="AI200" s="86">
        <f>IF(Y200="No",0,IFERROR(ROUNDDOWN(INDEX('90% of ACR'!R:R,MATCH(H:H,'90% of ACR'!A:A,0))*IF(J200&gt;0,IF(P200&gt;0,$R$4*MAX(P200-W200,0),0),0)/J200,2),0))</f>
        <v>0.77</v>
      </c>
      <c r="AJ200" s="45">
        <f t="shared" si="92"/>
        <v>0</v>
      </c>
      <c r="AK200" s="45">
        <f t="shared" si="92"/>
        <v>1737949.1555911747</v>
      </c>
      <c r="AL200" s="47">
        <f t="shared" si="93"/>
        <v>0</v>
      </c>
      <c r="AM200" s="47">
        <f t="shared" si="93"/>
        <v>1.1600000000000001</v>
      </c>
      <c r="AN200" s="87">
        <f>IFERROR(INDEX(FeeCalc!P:P,MATCH(C200,FeeCalc!F:F,0)),0)</f>
        <v>2618209.1175139775</v>
      </c>
      <c r="AO200" s="87">
        <f>IFERROR(INDEX(FeeCalc!S:S,MATCH(C200,FeeCalc!F:F,0)),0)</f>
        <v>162347.2097170747</v>
      </c>
      <c r="AP200" s="87">
        <f t="shared" si="94"/>
        <v>2780556.3272310523</v>
      </c>
      <c r="AQ200" s="72">
        <f t="shared" si="95"/>
        <v>1179879.0274466071</v>
      </c>
      <c r="AR200" s="72">
        <f t="shared" si="96"/>
        <v>589939.51372330356</v>
      </c>
      <c r="AS200" s="72">
        <f t="shared" si="97"/>
        <v>589939.51372330356</v>
      </c>
      <c r="AT200" s="72">
        <f>IFERROR(IFERROR(INDEX('2023 IP UPL Data'!L:L,MATCH(A:A,'2023 IP UPL Data'!B:B,0)),INDEX('2023 IMD UPL Data'!I:I,MATCH(A:A,'2023 IMD UPL Data'!B:B,0))),0)</f>
        <v>2784512.1370066698</v>
      </c>
      <c r="AU200" s="72">
        <f>IFERROR(IF(F198="IMD",0,INDEX('2023 OP UPL Data'!J:J,MATCH(A:A,'2023 OP UPL Data'!B:B,0))),0)</f>
        <v>1268608.3534545454</v>
      </c>
      <c r="AV200" s="45">
        <f t="shared" si="98"/>
        <v>4053120.4904612154</v>
      </c>
      <c r="AW200" s="72">
        <f>IFERROR(IFERROR(INDEX('2023 IP UPL Data'!M:M,MATCH(A:A,'2023 IP UPL Data'!B:B,0)),INDEX('2023 IMD UPL Data'!K:K,MATCH(A:A,'2023 IMD UPL Data'!B:B,0))),0)</f>
        <v>2489319.15</v>
      </c>
      <c r="AX200" s="72">
        <f>IFERROR(IF(F198="IMD",0,INDEX('2023 OP UPL Data'!L:L,MATCH(A:A,'2023 OP UPL Data'!B:B,0))),0)</f>
        <v>2546292.98</v>
      </c>
      <c r="AY200" s="45">
        <f t="shared" si="99"/>
        <v>5035612.13</v>
      </c>
      <c r="AZ200" s="72">
        <v>2808451.2845899276</v>
      </c>
      <c r="BA200" s="72">
        <v>4665229.7040673802</v>
      </c>
      <c r="BB200" s="72">
        <f t="shared" si="100"/>
        <v>2808451.2845899276</v>
      </c>
      <c r="BC200" s="72">
        <f t="shared" si="100"/>
        <v>3784969.7421445772</v>
      </c>
      <c r="BD200" s="72">
        <f t="shared" si="101"/>
        <v>6593421.0267345048</v>
      </c>
      <c r="BE200" s="94">
        <f t="shared" si="102"/>
        <v>319132.13458992774</v>
      </c>
      <c r="BF200" s="94">
        <f t="shared" si="102"/>
        <v>2118936.7240673802</v>
      </c>
      <c r="BG200" s="73">
        <f>IFERROR(INDEX('2023 IP UPL Data'!K:K,MATCH(A200,'2023 IP UPL Data'!B:B,0)),0)</f>
        <v>0</v>
      </c>
    </row>
    <row r="201" spans="1:59">
      <c r="A201" s="124" t="s">
        <v>856</v>
      </c>
      <c r="B201" s="149" t="s">
        <v>856</v>
      </c>
      <c r="C201" s="31" t="s">
        <v>857</v>
      </c>
      <c r="D201" s="181" t="s">
        <v>857</v>
      </c>
      <c r="E201" s="144" t="s">
        <v>3523</v>
      </c>
      <c r="F201" s="120" t="s">
        <v>2768</v>
      </c>
      <c r="G201" s="120" t="s">
        <v>310</v>
      </c>
      <c r="H201" s="43" t="str">
        <f t="shared" si="82"/>
        <v>Rural MRSA Northeast</v>
      </c>
      <c r="I201" s="45">
        <f>INDEX(FeeCalc!M:M,MATCH(C:C,FeeCalc!F:F,0))</f>
        <v>634050.98466387345</v>
      </c>
      <c r="J201" s="45">
        <f>INDEX(FeeCalc!L:L,MATCH(C:C,FeeCalc!F:F,0))</f>
        <v>0</v>
      </c>
      <c r="K201" s="45">
        <f t="shared" si="83"/>
        <v>634050.98466387345</v>
      </c>
      <c r="L201" s="45">
        <f>IFERROR(IFERROR(INDEX('2023 IP UPL Data'!N:N,MATCH(A:A,'2023 IP UPL Data'!B:B,0)),INDEX('2023 IMD UPL Data'!M:M,MATCH(A:A,'2023 IMD UPL Data'!B:B,0))),0)</f>
        <v>81137.070469656406</v>
      </c>
      <c r="M201" s="45">
        <f>IFERROR((IF(F201="IMD",0,INDEX('2023 OP UPL Data'!M:M,MATCH(A:A,'2023 OP UPL Data'!B:B,0)))),0)</f>
        <v>112334.04113207545</v>
      </c>
      <c r="N201" s="45">
        <f t="shared" si="84"/>
        <v>193471.11160173186</v>
      </c>
      <c r="O201" s="45">
        <v>-7101.9812905175204</v>
      </c>
      <c r="P201" s="45">
        <v>432386.69531898957</v>
      </c>
      <c r="Q201" s="45">
        <f t="shared" si="85"/>
        <v>425284.71402847208</v>
      </c>
      <c r="R201" s="45" t="str">
        <f t="shared" si="86"/>
        <v>No</v>
      </c>
      <c r="S201" s="46" t="str">
        <f t="shared" si="86"/>
        <v>Yes</v>
      </c>
      <c r="T201" s="47">
        <f>ROUND(INDEX(Summary!H:H,MATCH(H:H,Summary!A:A,0)),2)</f>
        <v>0.16</v>
      </c>
      <c r="U201" s="47">
        <f>ROUND(INDEX(Summary!I:I,MATCH(H:H,Summary!A:A,0)),2)</f>
        <v>0.42</v>
      </c>
      <c r="V201" s="85">
        <f t="shared" si="87"/>
        <v>101448.15754621975</v>
      </c>
      <c r="W201" s="85">
        <f t="shared" si="87"/>
        <v>0</v>
      </c>
      <c r="X201" s="45">
        <f t="shared" si="88"/>
        <v>101448.15754621975</v>
      </c>
      <c r="Y201" s="45" t="s">
        <v>3223</v>
      </c>
      <c r="Z201" s="45" t="str">
        <f t="shared" si="89"/>
        <v>No</v>
      </c>
      <c r="AA201" s="45" t="str">
        <f t="shared" si="89"/>
        <v>No</v>
      </c>
      <c r="AB201" s="45" t="str">
        <f t="shared" si="90"/>
        <v>No</v>
      </c>
      <c r="AC201" s="86">
        <f t="shared" si="103"/>
        <v>0</v>
      </c>
      <c r="AD201" s="86">
        <f t="shared" si="104"/>
        <v>0</v>
      </c>
      <c r="AE201" s="45">
        <f t="shared" si="105"/>
        <v>0</v>
      </c>
      <c r="AF201" s="45">
        <f t="shared" si="105"/>
        <v>0</v>
      </c>
      <c r="AG201" s="45">
        <f t="shared" si="91"/>
        <v>0</v>
      </c>
      <c r="AH201" s="47">
        <f>IF(Y201="No",0,IFERROR(ROUNDDOWN(INDEX('90% of ACR'!K:K,MATCH(H:H,'90% of ACR'!A:A,0))*IF(I201&gt;0,IF(O201&gt;0,$R$4*MAX(O201-V201,0),0),0)/I201,2),0))</f>
        <v>0</v>
      </c>
      <c r="AI201" s="86">
        <f>IF(Y201="No",0,IFERROR(ROUNDDOWN(INDEX('90% of ACR'!R:R,MATCH(H:H,'90% of ACR'!A:A,0))*IF(J201&gt;0,IF(P201&gt;0,$R$4*MAX(P201-W201,0),0),0)/J201,2),0))</f>
        <v>0</v>
      </c>
      <c r="AJ201" s="45">
        <f t="shared" si="92"/>
        <v>0</v>
      </c>
      <c r="AK201" s="45">
        <f t="shared" si="92"/>
        <v>0</v>
      </c>
      <c r="AL201" s="47">
        <f t="shared" si="93"/>
        <v>0.16</v>
      </c>
      <c r="AM201" s="47">
        <f t="shared" si="93"/>
        <v>0.42</v>
      </c>
      <c r="AN201" s="87">
        <f>IFERROR(INDEX(FeeCalc!P:P,MATCH(C201,FeeCalc!F:F,0)),0)</f>
        <v>101448.15754621975</v>
      </c>
      <c r="AO201" s="87">
        <f>IFERROR(INDEX(FeeCalc!S:S,MATCH(C201,FeeCalc!F:F,0)),0)</f>
        <v>6301.799375399627</v>
      </c>
      <c r="AP201" s="87">
        <f t="shared" si="94"/>
        <v>107749.95692161938</v>
      </c>
      <c r="AQ201" s="72">
        <f t="shared" si="95"/>
        <v>45721.754720464596</v>
      </c>
      <c r="AR201" s="72">
        <f t="shared" si="96"/>
        <v>22860.877360232298</v>
      </c>
      <c r="AS201" s="72">
        <f t="shared" si="97"/>
        <v>22860.877360232298</v>
      </c>
      <c r="AT201" s="72">
        <f>IFERROR(IFERROR(INDEX('2023 IP UPL Data'!L:L,MATCH(A:A,'2023 IP UPL Data'!B:B,0)),INDEX('2023 IMD UPL Data'!I:I,MATCH(A:A,'2023 IMD UPL Data'!B:B,0))),0)</f>
        <v>92483.869530343596</v>
      </c>
      <c r="AU201" s="72">
        <f>IFERROR(IF(F199="IMD",0,INDEX('2023 OP UPL Data'!J:J,MATCH(A:A,'2023 OP UPL Data'!B:B,0))),0)</f>
        <v>242818.37886792453</v>
      </c>
      <c r="AV201" s="45">
        <f t="shared" si="98"/>
        <v>335302.24839826813</v>
      </c>
      <c r="AW201" s="72">
        <f>IFERROR(IFERROR(INDEX('2023 IP UPL Data'!M:M,MATCH(A:A,'2023 IP UPL Data'!B:B,0)),INDEX('2023 IMD UPL Data'!K:K,MATCH(A:A,'2023 IMD UPL Data'!B:B,0))),0)</f>
        <v>173620.94</v>
      </c>
      <c r="AX201" s="72">
        <f>IFERROR(IF(F199="IMD",0,INDEX('2023 OP UPL Data'!L:L,MATCH(A:A,'2023 OP UPL Data'!B:B,0))),0)</f>
        <v>355152.42</v>
      </c>
      <c r="AY201" s="45">
        <f t="shared" si="99"/>
        <v>528773.36</v>
      </c>
      <c r="AZ201" s="72">
        <v>85381.888239826076</v>
      </c>
      <c r="BA201" s="72">
        <v>675205.07418691413</v>
      </c>
      <c r="BB201" s="72">
        <f t="shared" si="100"/>
        <v>0</v>
      </c>
      <c r="BC201" s="72">
        <f t="shared" si="100"/>
        <v>675205.07418691413</v>
      </c>
      <c r="BD201" s="72">
        <f t="shared" si="101"/>
        <v>659138.80488052045</v>
      </c>
      <c r="BE201" s="94">
        <f t="shared" si="102"/>
        <v>0</v>
      </c>
      <c r="BF201" s="94">
        <f t="shared" si="102"/>
        <v>320052.65418691415</v>
      </c>
      <c r="BG201" s="73">
        <f>IFERROR(INDEX('2023 IP UPL Data'!K:K,MATCH(A201,'2023 IP UPL Data'!B:B,0)),0)</f>
        <v>0</v>
      </c>
    </row>
    <row r="202" spans="1:59">
      <c r="A202" s="124" t="s">
        <v>995</v>
      </c>
      <c r="B202" s="149" t="s">
        <v>995</v>
      </c>
      <c r="C202" s="31" t="s">
        <v>996</v>
      </c>
      <c r="D202" s="181" t="s">
        <v>996</v>
      </c>
      <c r="E202" s="144" t="s">
        <v>3524</v>
      </c>
      <c r="F202" s="120" t="s">
        <v>2718</v>
      </c>
      <c r="G202" s="120" t="s">
        <v>1489</v>
      </c>
      <c r="H202" s="43" t="str">
        <f t="shared" si="82"/>
        <v>Urban MRSA Central</v>
      </c>
      <c r="I202" s="45">
        <f>INDEX(FeeCalc!M:M,MATCH(C:C,FeeCalc!F:F,0))</f>
        <v>9211034.1030934937</v>
      </c>
      <c r="J202" s="45">
        <f>INDEX(FeeCalc!L:L,MATCH(C:C,FeeCalc!F:F,0))</f>
        <v>5533346.5858249199</v>
      </c>
      <c r="K202" s="45">
        <f t="shared" si="83"/>
        <v>14744380.688918414</v>
      </c>
      <c r="L202" s="45">
        <f>IFERROR(IFERROR(INDEX('2023 IP UPL Data'!N:N,MATCH(A:A,'2023 IP UPL Data'!B:B,0)),INDEX('2023 IMD UPL Data'!M:M,MATCH(A:A,'2023 IMD UPL Data'!B:B,0))),0)</f>
        <v>8449528.9436686393</v>
      </c>
      <c r="M202" s="45">
        <f>IFERROR((IF(F202="IMD",0,INDEX('2023 OP UPL Data'!M:M,MATCH(A:A,'2023 OP UPL Data'!B:B,0)))),0)</f>
        <v>6221251.6589940842</v>
      </c>
      <c r="N202" s="45">
        <f t="shared" si="84"/>
        <v>14670780.602662724</v>
      </c>
      <c r="O202" s="45">
        <v>12711547.814905927</v>
      </c>
      <c r="P202" s="45">
        <v>7604996.8548988905</v>
      </c>
      <c r="Q202" s="45">
        <f t="shared" si="85"/>
        <v>20316544.669804819</v>
      </c>
      <c r="R202" s="45" t="str">
        <f t="shared" si="86"/>
        <v>Yes</v>
      </c>
      <c r="S202" s="46" t="str">
        <f t="shared" si="86"/>
        <v>Yes</v>
      </c>
      <c r="T202" s="47">
        <f>ROUND(INDEX(Summary!H:H,MATCH(H:H,Summary!A:A,0)),2)</f>
        <v>0.78</v>
      </c>
      <c r="U202" s="47">
        <f>ROUND(INDEX(Summary!I:I,MATCH(H:H,Summary!A:A,0)),2)</f>
        <v>1.29</v>
      </c>
      <c r="V202" s="85">
        <f t="shared" si="87"/>
        <v>7184606.6004129257</v>
      </c>
      <c r="W202" s="85">
        <f t="shared" si="87"/>
        <v>7138017.0957141472</v>
      </c>
      <c r="X202" s="45">
        <f t="shared" si="88"/>
        <v>14322623.696127072</v>
      </c>
      <c r="Y202" s="45" t="s">
        <v>3223</v>
      </c>
      <c r="Z202" s="45" t="str">
        <f t="shared" si="89"/>
        <v>Yes</v>
      </c>
      <c r="AA202" s="45" t="str">
        <f t="shared" si="89"/>
        <v>No</v>
      </c>
      <c r="AB202" s="45" t="str">
        <f t="shared" si="90"/>
        <v>Yes</v>
      </c>
      <c r="AC202" s="86">
        <f t="shared" si="103"/>
        <v>0.42</v>
      </c>
      <c r="AD202" s="86">
        <f t="shared" si="104"/>
        <v>0.06</v>
      </c>
      <c r="AE202" s="45">
        <f t="shared" si="105"/>
        <v>3868634.3232992673</v>
      </c>
      <c r="AF202" s="45">
        <f t="shared" si="105"/>
        <v>332000.79514949518</v>
      </c>
      <c r="AG202" s="45">
        <f t="shared" si="91"/>
        <v>4200635.1184487622</v>
      </c>
      <c r="AH202" s="47">
        <f>IF(Y202="No",0,IFERROR(ROUNDDOWN(INDEX('90% of ACR'!K:K,MATCH(H:H,'90% of ACR'!A:A,0))*IF(I202&gt;0,IF(O202&gt;0,$R$4*MAX(O202-V202,0),0),0)/I202,2),0))</f>
        <v>0.41</v>
      </c>
      <c r="AI202" s="86">
        <f>IF(Y202="No",0,IFERROR(ROUNDDOWN(INDEX('90% of ACR'!R:R,MATCH(H:H,'90% of ACR'!A:A,0))*IF(J202&gt;0,IF(P202&gt;0,$R$4*MAX(P202-W202,0),0),0)/J202,2),0))</f>
        <v>0</v>
      </c>
      <c r="AJ202" s="45">
        <f t="shared" si="92"/>
        <v>3776523.982268332</v>
      </c>
      <c r="AK202" s="45">
        <f t="shared" si="92"/>
        <v>0</v>
      </c>
      <c r="AL202" s="47">
        <f t="shared" si="93"/>
        <v>1.19</v>
      </c>
      <c r="AM202" s="47">
        <f t="shared" si="93"/>
        <v>1.29</v>
      </c>
      <c r="AN202" s="87">
        <f>IFERROR(INDEX(FeeCalc!P:P,MATCH(C202,FeeCalc!F:F,0)),0)</f>
        <v>18099147.678395405</v>
      </c>
      <c r="AO202" s="87">
        <f>IFERROR(INDEX(FeeCalc!S:S,MATCH(C202,FeeCalc!F:F,0)),0)</f>
        <v>1125521.8665643143</v>
      </c>
      <c r="AP202" s="87">
        <f t="shared" si="94"/>
        <v>19224669.54495972</v>
      </c>
      <c r="AQ202" s="72">
        <f t="shared" si="95"/>
        <v>8157642.477351849</v>
      </c>
      <c r="AR202" s="72">
        <f t="shared" si="96"/>
        <v>4078821.2386759245</v>
      </c>
      <c r="AS202" s="72">
        <f t="shared" si="97"/>
        <v>4078821.2386759245</v>
      </c>
      <c r="AT202" s="72">
        <f>IFERROR(IFERROR(INDEX('2023 IP UPL Data'!L:L,MATCH(A:A,'2023 IP UPL Data'!B:B,0)),INDEX('2023 IMD UPL Data'!I:I,MATCH(A:A,'2023 IMD UPL Data'!B:B,0))),0)</f>
        <v>7612823.9763313606</v>
      </c>
      <c r="AU202" s="72">
        <f>IFERROR(IF(F200="IMD",0,INDEX('2023 OP UPL Data'!J:J,MATCH(A:A,'2023 OP UPL Data'!B:B,0))),0)</f>
        <v>1827742.0710059167</v>
      </c>
      <c r="AV202" s="45">
        <f t="shared" si="98"/>
        <v>9440566.0473372769</v>
      </c>
      <c r="AW202" s="72">
        <f>IFERROR(IFERROR(INDEX('2023 IP UPL Data'!M:M,MATCH(A:A,'2023 IP UPL Data'!B:B,0)),INDEX('2023 IMD UPL Data'!K:K,MATCH(A:A,'2023 IMD UPL Data'!B:B,0))),0)</f>
        <v>16062352.92</v>
      </c>
      <c r="AX202" s="72">
        <f>IFERROR(IF(F200="IMD",0,INDEX('2023 OP UPL Data'!L:L,MATCH(A:A,'2023 OP UPL Data'!B:B,0))),0)</f>
        <v>8048993.7300000004</v>
      </c>
      <c r="AY202" s="45">
        <f t="shared" si="99"/>
        <v>24111346.649999999</v>
      </c>
      <c r="AZ202" s="72">
        <v>20324371.791237287</v>
      </c>
      <c r="BA202" s="72">
        <v>9432738.9259048067</v>
      </c>
      <c r="BB202" s="72">
        <f t="shared" si="100"/>
        <v>13139765.190824362</v>
      </c>
      <c r="BC202" s="72">
        <f t="shared" si="100"/>
        <v>2294721.8301906595</v>
      </c>
      <c r="BD202" s="72">
        <f t="shared" si="101"/>
        <v>15434487.021015022</v>
      </c>
      <c r="BE202" s="94">
        <f t="shared" si="102"/>
        <v>4262018.8712372873</v>
      </c>
      <c r="BF202" s="94">
        <f t="shared" si="102"/>
        <v>1383745.1959048063</v>
      </c>
      <c r="BG202" s="73">
        <f>IFERROR(INDEX('2023 IP UPL Data'!K:K,MATCH(A202,'2023 IP UPL Data'!B:B,0)),0)</f>
        <v>0</v>
      </c>
    </row>
    <row r="203" spans="1:59">
      <c r="A203" s="124" t="s">
        <v>542</v>
      </c>
      <c r="B203" s="149" t="s">
        <v>542</v>
      </c>
      <c r="C203" s="31" t="s">
        <v>543</v>
      </c>
      <c r="D203" s="181" t="s">
        <v>543</v>
      </c>
      <c r="E203" s="144" t="s">
        <v>3525</v>
      </c>
      <c r="F203" s="120" t="s">
        <v>2768</v>
      </c>
      <c r="G203" s="120" t="s">
        <v>1489</v>
      </c>
      <c r="H203" s="43" t="str">
        <f t="shared" si="82"/>
        <v>Rural MRSA Central</v>
      </c>
      <c r="I203" s="45">
        <f>INDEX(FeeCalc!M:M,MATCH(C:C,FeeCalc!F:F,0))</f>
        <v>19615.01448068703</v>
      </c>
      <c r="J203" s="45">
        <f>INDEX(FeeCalc!L:L,MATCH(C:C,FeeCalc!F:F,0))</f>
        <v>975935.6735960854</v>
      </c>
      <c r="K203" s="45">
        <f t="shared" si="83"/>
        <v>995550.68807677238</v>
      </c>
      <c r="L203" s="45">
        <f>IFERROR(IFERROR(INDEX('2023 IP UPL Data'!N:N,MATCH(A:A,'2023 IP UPL Data'!B:B,0)),INDEX('2023 IMD UPL Data'!M:M,MATCH(A:A,'2023 IMD UPL Data'!B:B,0))),0)</f>
        <v>-25235.244405913461</v>
      </c>
      <c r="M203" s="45">
        <f>IFERROR((IF(F203="IMD",0,INDEX('2023 OP UPL Data'!M:M,MATCH(A:A,'2023 OP UPL Data'!B:B,0)))),0)</f>
        <v>-19384.166887417203</v>
      </c>
      <c r="N203" s="45">
        <f t="shared" si="84"/>
        <v>-44619.411293330661</v>
      </c>
      <c r="O203" s="45">
        <v>44208.336949480923</v>
      </c>
      <c r="P203" s="45">
        <v>481468.91618935636</v>
      </c>
      <c r="Q203" s="45">
        <f t="shared" si="85"/>
        <v>525677.25313883729</v>
      </c>
      <c r="R203" s="45" t="str">
        <f t="shared" si="86"/>
        <v>Yes</v>
      </c>
      <c r="S203" s="46" t="str">
        <f t="shared" si="86"/>
        <v>Yes</v>
      </c>
      <c r="T203" s="47">
        <f>ROUND(INDEX(Summary!H:H,MATCH(H:H,Summary!A:A,0)),2)</f>
        <v>0</v>
      </c>
      <c r="U203" s="47">
        <f>ROUND(INDEX(Summary!I:I,MATCH(H:H,Summary!A:A,0)),2)</f>
        <v>0.17</v>
      </c>
      <c r="V203" s="85">
        <f t="shared" si="87"/>
        <v>0</v>
      </c>
      <c r="W203" s="85">
        <f t="shared" si="87"/>
        <v>165909.06451133452</v>
      </c>
      <c r="X203" s="45">
        <f t="shared" si="88"/>
        <v>165909.06451133452</v>
      </c>
      <c r="Y203" s="45" t="s">
        <v>3223</v>
      </c>
      <c r="Z203" s="45" t="str">
        <f t="shared" si="89"/>
        <v>No</v>
      </c>
      <c r="AA203" s="45" t="str">
        <f t="shared" si="89"/>
        <v>Yes</v>
      </c>
      <c r="AB203" s="45" t="str">
        <f t="shared" si="90"/>
        <v>Yes</v>
      </c>
      <c r="AC203" s="86">
        <f t="shared" si="103"/>
        <v>1.57</v>
      </c>
      <c r="AD203" s="86">
        <f t="shared" si="104"/>
        <v>0.23</v>
      </c>
      <c r="AE203" s="45">
        <f t="shared" si="105"/>
        <v>30795.572734678637</v>
      </c>
      <c r="AF203" s="45">
        <f t="shared" si="105"/>
        <v>224465.20492709966</v>
      </c>
      <c r="AG203" s="45">
        <f t="shared" si="91"/>
        <v>255260.77766177829</v>
      </c>
      <c r="AH203" s="47">
        <f>IF(Y203="No",0,IFERROR(ROUNDDOWN(INDEX('90% of ACR'!K:K,MATCH(H:H,'90% of ACR'!A:A,0))*IF(I203&gt;0,IF(O203&gt;0,$R$4*MAX(O203-V203,0),0),0)/I203,2),0))</f>
        <v>0</v>
      </c>
      <c r="AI203" s="86">
        <f>IF(Y203="No",0,IFERROR(ROUNDDOWN(INDEX('90% of ACR'!R:R,MATCH(H:H,'90% of ACR'!A:A,0))*IF(J203&gt;0,IF(P203&gt;0,$R$4*MAX(P203-W203,0),0),0)/J203,2),0))</f>
        <v>0.22</v>
      </c>
      <c r="AJ203" s="45">
        <f t="shared" si="92"/>
        <v>0</v>
      </c>
      <c r="AK203" s="45">
        <f t="shared" si="92"/>
        <v>214705.84819113879</v>
      </c>
      <c r="AL203" s="47">
        <f t="shared" si="93"/>
        <v>0</v>
      </c>
      <c r="AM203" s="47">
        <f t="shared" si="93"/>
        <v>0.39</v>
      </c>
      <c r="AN203" s="87">
        <f>IFERROR(INDEX(FeeCalc!P:P,MATCH(C203,FeeCalc!F:F,0)),0)</f>
        <v>380614.91270247335</v>
      </c>
      <c r="AO203" s="87">
        <f>IFERROR(INDEX(FeeCalc!S:S,MATCH(C203,FeeCalc!F:F,0)),0)</f>
        <v>23564.027709679722</v>
      </c>
      <c r="AP203" s="87">
        <f t="shared" si="94"/>
        <v>404178.94041215308</v>
      </c>
      <c r="AQ203" s="72">
        <f t="shared" si="95"/>
        <v>171506.05814296976</v>
      </c>
      <c r="AR203" s="72">
        <f t="shared" si="96"/>
        <v>85753.029071484882</v>
      </c>
      <c r="AS203" s="72">
        <f t="shared" si="97"/>
        <v>85753.029071484882</v>
      </c>
      <c r="AT203" s="72">
        <f>IFERROR(IFERROR(INDEX('2023 IP UPL Data'!L:L,MATCH(A:A,'2023 IP UPL Data'!B:B,0)),INDEX('2023 IMD UPL Data'!I:I,MATCH(A:A,'2023 IMD UPL Data'!B:B,0))),0)</f>
        <v>49029.974405913461</v>
      </c>
      <c r="AU203" s="72">
        <f>IFERROR(IF(F201="IMD",0,INDEX('2023 OP UPL Data'!J:J,MATCH(A:A,'2023 OP UPL Data'!B:B,0))),0)</f>
        <v>331324.44688741723</v>
      </c>
      <c r="AV203" s="45">
        <f t="shared" si="98"/>
        <v>380354.42129333067</v>
      </c>
      <c r="AW203" s="72">
        <f>IFERROR(IFERROR(INDEX('2023 IP UPL Data'!M:M,MATCH(A:A,'2023 IP UPL Data'!B:B,0)),INDEX('2023 IMD UPL Data'!K:K,MATCH(A:A,'2023 IMD UPL Data'!B:B,0))),0)</f>
        <v>23794.73</v>
      </c>
      <c r="AX203" s="72">
        <f>IFERROR(IF(F201="IMD",0,INDEX('2023 OP UPL Data'!L:L,MATCH(A:A,'2023 OP UPL Data'!B:B,0))),0)</f>
        <v>311940.28000000003</v>
      </c>
      <c r="AY203" s="45">
        <f t="shared" si="99"/>
        <v>335735.01</v>
      </c>
      <c r="AZ203" s="72">
        <v>93238.311355394384</v>
      </c>
      <c r="BA203" s="72">
        <v>812793.36307677359</v>
      </c>
      <c r="BB203" s="72">
        <f t="shared" si="100"/>
        <v>93238.311355394384</v>
      </c>
      <c r="BC203" s="72">
        <f t="shared" si="100"/>
        <v>646884.29856543906</v>
      </c>
      <c r="BD203" s="72">
        <f t="shared" si="101"/>
        <v>740122.60992083349</v>
      </c>
      <c r="BE203" s="94">
        <f t="shared" si="102"/>
        <v>69443.581355394388</v>
      </c>
      <c r="BF203" s="94">
        <f t="shared" si="102"/>
        <v>500853.08307677356</v>
      </c>
      <c r="BG203" s="73">
        <f>IFERROR(INDEX('2023 IP UPL Data'!K:K,MATCH(A203,'2023 IP UPL Data'!B:B,0)),0)</f>
        <v>0</v>
      </c>
    </row>
    <row r="204" spans="1:59">
      <c r="A204" s="124" t="s">
        <v>725</v>
      </c>
      <c r="B204" s="149" t="s">
        <v>725</v>
      </c>
      <c r="C204" s="31" t="s">
        <v>726</v>
      </c>
      <c r="D204" s="181" t="s">
        <v>726</v>
      </c>
      <c r="E204" s="144" t="s">
        <v>3526</v>
      </c>
      <c r="F204" s="120" t="s">
        <v>2768</v>
      </c>
      <c r="G204" s="120" t="s">
        <v>1489</v>
      </c>
      <c r="H204" s="43" t="str">
        <f t="shared" si="82"/>
        <v>Rural MRSA Central</v>
      </c>
      <c r="I204" s="45">
        <f>INDEX(FeeCalc!M:M,MATCH(C:C,FeeCalc!F:F,0))</f>
        <v>39768.635938042542</v>
      </c>
      <c r="J204" s="45">
        <f>INDEX(FeeCalc!L:L,MATCH(C:C,FeeCalc!F:F,0))</f>
        <v>915822.98872576642</v>
      </c>
      <c r="K204" s="45">
        <f t="shared" si="83"/>
        <v>955591.62466380897</v>
      </c>
      <c r="L204" s="45">
        <f>IFERROR(IFERROR(INDEX('2023 IP UPL Data'!N:N,MATCH(A:A,'2023 IP UPL Data'!B:B,0)),INDEX('2023 IMD UPL Data'!M:M,MATCH(A:A,'2023 IMD UPL Data'!B:B,0))),0)</f>
        <v>-23644.912168656814</v>
      </c>
      <c r="M204" s="45">
        <f>IFERROR((IF(F204="IMD",0,INDEX('2023 OP UPL Data'!M:M,MATCH(A:A,'2023 OP UPL Data'!B:B,0)))),0)</f>
        <v>7178.3313245034078</v>
      </c>
      <c r="N204" s="45">
        <f t="shared" si="84"/>
        <v>-16466.580844153406</v>
      </c>
      <c r="O204" s="45">
        <v>-13218.537984097165</v>
      </c>
      <c r="P204" s="45">
        <v>301382.09863898309</v>
      </c>
      <c r="Q204" s="45">
        <f t="shared" si="85"/>
        <v>288163.56065488595</v>
      </c>
      <c r="R204" s="45" t="str">
        <f t="shared" si="86"/>
        <v>No</v>
      </c>
      <c r="S204" s="46" t="str">
        <f t="shared" si="86"/>
        <v>Yes</v>
      </c>
      <c r="T204" s="47">
        <f>ROUND(INDEX(Summary!H:H,MATCH(H:H,Summary!A:A,0)),2)</f>
        <v>0</v>
      </c>
      <c r="U204" s="47">
        <f>ROUND(INDEX(Summary!I:I,MATCH(H:H,Summary!A:A,0)),2)</f>
        <v>0.17</v>
      </c>
      <c r="V204" s="85">
        <f t="shared" si="87"/>
        <v>0</v>
      </c>
      <c r="W204" s="85">
        <f t="shared" si="87"/>
        <v>155689.90808338032</v>
      </c>
      <c r="X204" s="45">
        <f t="shared" si="88"/>
        <v>155689.90808338032</v>
      </c>
      <c r="Y204" s="45" t="s">
        <v>3223</v>
      </c>
      <c r="Z204" s="45" t="str">
        <f t="shared" si="89"/>
        <v>No</v>
      </c>
      <c r="AA204" s="45" t="str">
        <f t="shared" si="89"/>
        <v>Yes</v>
      </c>
      <c r="AB204" s="45" t="str">
        <f t="shared" si="90"/>
        <v>Yes</v>
      </c>
      <c r="AC204" s="86">
        <f t="shared" si="103"/>
        <v>0</v>
      </c>
      <c r="AD204" s="86">
        <f t="shared" si="104"/>
        <v>0.11</v>
      </c>
      <c r="AE204" s="45">
        <f t="shared" si="105"/>
        <v>0</v>
      </c>
      <c r="AF204" s="45">
        <f t="shared" si="105"/>
        <v>100740.52875983431</v>
      </c>
      <c r="AG204" s="45">
        <f t="shared" si="91"/>
        <v>100740.52875983431</v>
      </c>
      <c r="AH204" s="47">
        <f>IF(Y204="No",0,IFERROR(ROUNDDOWN(INDEX('90% of ACR'!K:K,MATCH(H:H,'90% of ACR'!A:A,0))*IF(I204&gt;0,IF(O204&gt;0,$R$4*MAX(O204-V204,0),0),0)/I204,2),0))</f>
        <v>0</v>
      </c>
      <c r="AI204" s="86">
        <f>IF(Y204="No",0,IFERROR(ROUNDDOWN(INDEX('90% of ACR'!R:R,MATCH(H:H,'90% of ACR'!A:A,0))*IF(J204&gt;0,IF(P204&gt;0,$R$4*MAX(P204-W204,0),0),0)/J204,2),0))</f>
        <v>0.11</v>
      </c>
      <c r="AJ204" s="45">
        <f t="shared" si="92"/>
        <v>0</v>
      </c>
      <c r="AK204" s="45">
        <f t="shared" si="92"/>
        <v>100740.52875983431</v>
      </c>
      <c r="AL204" s="47">
        <f t="shared" si="93"/>
        <v>0</v>
      </c>
      <c r="AM204" s="47">
        <f t="shared" si="93"/>
        <v>0.28000000000000003</v>
      </c>
      <c r="AN204" s="87">
        <f>IFERROR(INDEX(FeeCalc!P:P,MATCH(C204,FeeCalc!F:F,0)),0)</f>
        <v>256430.43684321461</v>
      </c>
      <c r="AO204" s="87">
        <f>IFERROR(INDEX(FeeCalc!S:S,MATCH(C204,FeeCalc!F:F,0)),0)</f>
        <v>15837.579299279292</v>
      </c>
      <c r="AP204" s="87">
        <f t="shared" si="94"/>
        <v>272268.01614249393</v>
      </c>
      <c r="AQ204" s="72">
        <f t="shared" si="95"/>
        <v>115532.03182577675</v>
      </c>
      <c r="AR204" s="72">
        <f t="shared" si="96"/>
        <v>57766.015912888375</v>
      </c>
      <c r="AS204" s="72">
        <f t="shared" si="97"/>
        <v>57766.015912888375</v>
      </c>
      <c r="AT204" s="72">
        <f>IFERROR(IFERROR(INDEX('2023 IP UPL Data'!L:L,MATCH(A:A,'2023 IP UPL Data'!B:B,0)),INDEX('2023 IMD UPL Data'!I:I,MATCH(A:A,'2023 IMD UPL Data'!B:B,0))),0)</f>
        <v>26076.792168656815</v>
      </c>
      <c r="AU204" s="72">
        <f>IFERROR(IF(F202="IMD",0,INDEX('2023 OP UPL Data'!J:J,MATCH(A:A,'2023 OP UPL Data'!B:B,0))),0)</f>
        <v>449511.43867549661</v>
      </c>
      <c r="AV204" s="45">
        <f t="shared" si="98"/>
        <v>475588.23084415344</v>
      </c>
      <c r="AW204" s="72">
        <f>IFERROR(IFERROR(INDEX('2023 IP UPL Data'!M:M,MATCH(A:A,'2023 IP UPL Data'!B:B,0)),INDEX('2023 IMD UPL Data'!K:K,MATCH(A:A,'2023 IMD UPL Data'!B:B,0))),0)</f>
        <v>2431.88</v>
      </c>
      <c r="AX204" s="72">
        <f>IFERROR(IF(F202="IMD",0,INDEX('2023 OP UPL Data'!L:L,MATCH(A:A,'2023 OP UPL Data'!B:B,0))),0)</f>
        <v>456689.77</v>
      </c>
      <c r="AY204" s="45">
        <f t="shared" si="99"/>
        <v>459121.65</v>
      </c>
      <c r="AZ204" s="72">
        <v>12858.25418455965</v>
      </c>
      <c r="BA204" s="72">
        <v>750893.5373144797</v>
      </c>
      <c r="BB204" s="72">
        <f t="shared" si="100"/>
        <v>12858.25418455965</v>
      </c>
      <c r="BC204" s="72">
        <f t="shared" si="100"/>
        <v>595203.62923109939</v>
      </c>
      <c r="BD204" s="72">
        <f t="shared" si="101"/>
        <v>608061.88341565907</v>
      </c>
      <c r="BE204" s="94">
        <f t="shared" si="102"/>
        <v>10426.374184559649</v>
      </c>
      <c r="BF204" s="94">
        <f t="shared" si="102"/>
        <v>294203.76731447969</v>
      </c>
      <c r="BG204" s="73">
        <f>IFERROR(INDEX('2023 IP UPL Data'!K:K,MATCH(A204,'2023 IP UPL Data'!B:B,0)),0)</f>
        <v>0</v>
      </c>
    </row>
    <row r="205" spans="1:59">
      <c r="A205" s="124" t="s">
        <v>816</v>
      </c>
      <c r="B205" s="149" t="s">
        <v>816</v>
      </c>
      <c r="C205" s="31" t="s">
        <v>817</v>
      </c>
      <c r="D205" s="181" t="s">
        <v>817</v>
      </c>
      <c r="E205" s="144" t="s">
        <v>3527</v>
      </c>
      <c r="F205" s="120" t="s">
        <v>2768</v>
      </c>
      <c r="G205" s="120" t="s">
        <v>1489</v>
      </c>
      <c r="H205" s="43" t="str">
        <f t="shared" si="82"/>
        <v>Rural MRSA Central</v>
      </c>
      <c r="I205" s="45">
        <f>INDEX(FeeCalc!M:M,MATCH(C:C,FeeCalc!F:F,0))</f>
        <v>16910.153965567024</v>
      </c>
      <c r="J205" s="45">
        <f>INDEX(FeeCalc!L:L,MATCH(C:C,FeeCalc!F:F,0))</f>
        <v>926016.00061201327</v>
      </c>
      <c r="K205" s="45">
        <f t="shared" si="83"/>
        <v>942926.15457758028</v>
      </c>
      <c r="L205" s="45">
        <f>IFERROR(IFERROR(INDEX('2023 IP UPL Data'!N:N,MATCH(A:A,'2023 IP UPL Data'!B:B,0)),INDEX('2023 IMD UPL Data'!M:M,MATCH(A:A,'2023 IMD UPL Data'!B:B,0))),0)</f>
        <v>3706.9017277010075</v>
      </c>
      <c r="M205" s="45">
        <f>IFERROR((IF(F205="IMD",0,INDEX('2023 OP UPL Data'!M:M,MATCH(A:A,'2023 OP UPL Data'!B:B,0)))),0)</f>
        <v>-176039.09245033111</v>
      </c>
      <c r="N205" s="45">
        <f t="shared" si="84"/>
        <v>-172332.1907226301</v>
      </c>
      <c r="O205" s="45">
        <v>33303.094197078863</v>
      </c>
      <c r="P205" s="45">
        <v>495761.38011828065</v>
      </c>
      <c r="Q205" s="45">
        <f t="shared" si="85"/>
        <v>529064.47431535949</v>
      </c>
      <c r="R205" s="45" t="str">
        <f t="shared" si="86"/>
        <v>Yes</v>
      </c>
      <c r="S205" s="46" t="str">
        <f t="shared" si="86"/>
        <v>Yes</v>
      </c>
      <c r="T205" s="47">
        <f>ROUND(INDEX(Summary!H:H,MATCH(H:H,Summary!A:A,0)),2)</f>
        <v>0</v>
      </c>
      <c r="U205" s="47">
        <f>ROUND(INDEX(Summary!I:I,MATCH(H:H,Summary!A:A,0)),2)</f>
        <v>0.17</v>
      </c>
      <c r="V205" s="85">
        <f t="shared" si="87"/>
        <v>0</v>
      </c>
      <c r="W205" s="85">
        <f t="shared" si="87"/>
        <v>157422.72010404227</v>
      </c>
      <c r="X205" s="45">
        <f t="shared" si="88"/>
        <v>157422.72010404227</v>
      </c>
      <c r="Y205" s="45" t="s">
        <v>3223</v>
      </c>
      <c r="Z205" s="45" t="str">
        <f t="shared" si="89"/>
        <v>No</v>
      </c>
      <c r="AA205" s="45" t="str">
        <f t="shared" si="89"/>
        <v>Yes</v>
      </c>
      <c r="AB205" s="45" t="str">
        <f t="shared" si="90"/>
        <v>Yes</v>
      </c>
      <c r="AC205" s="86">
        <f t="shared" si="103"/>
        <v>1.37</v>
      </c>
      <c r="AD205" s="86">
        <f t="shared" si="104"/>
        <v>0.25</v>
      </c>
      <c r="AE205" s="45">
        <f t="shared" si="105"/>
        <v>23166.910932826824</v>
      </c>
      <c r="AF205" s="45">
        <f t="shared" si="105"/>
        <v>231504.00015300332</v>
      </c>
      <c r="AG205" s="45">
        <f t="shared" si="91"/>
        <v>254670.91108583013</v>
      </c>
      <c r="AH205" s="47">
        <f>IF(Y205="No",0,IFERROR(ROUNDDOWN(INDEX('90% of ACR'!K:K,MATCH(H:H,'90% of ACR'!A:A,0))*IF(I205&gt;0,IF(O205&gt;0,$R$4*MAX(O205-V205,0),0),0)/I205,2),0))</f>
        <v>0</v>
      </c>
      <c r="AI205" s="86">
        <f>IF(Y205="No",0,IFERROR(ROUNDDOWN(INDEX('90% of ACR'!R:R,MATCH(H:H,'90% of ACR'!A:A,0))*IF(J205&gt;0,IF(P205&gt;0,$R$4*MAX(P205-W205,0),0),0)/J205,2),0))</f>
        <v>0.25</v>
      </c>
      <c r="AJ205" s="45">
        <f t="shared" si="92"/>
        <v>0</v>
      </c>
      <c r="AK205" s="45">
        <f t="shared" si="92"/>
        <v>231504.00015300332</v>
      </c>
      <c r="AL205" s="47">
        <f t="shared" si="93"/>
        <v>0</v>
      </c>
      <c r="AM205" s="47">
        <f t="shared" si="93"/>
        <v>0.42000000000000004</v>
      </c>
      <c r="AN205" s="87">
        <f>IFERROR(INDEX(FeeCalc!P:P,MATCH(C205,FeeCalc!F:F,0)),0)</f>
        <v>388926.72025704558</v>
      </c>
      <c r="AO205" s="87">
        <f>IFERROR(INDEX(FeeCalc!S:S,MATCH(C205,FeeCalc!F:F,0)),0)</f>
        <v>23970.209137931201</v>
      </c>
      <c r="AP205" s="87">
        <f t="shared" si="94"/>
        <v>412896.92939497676</v>
      </c>
      <c r="AQ205" s="72">
        <f t="shared" si="95"/>
        <v>175205.37984402929</v>
      </c>
      <c r="AR205" s="72">
        <f t="shared" si="96"/>
        <v>87602.689922014644</v>
      </c>
      <c r="AS205" s="72">
        <f t="shared" si="97"/>
        <v>87602.689922014644</v>
      </c>
      <c r="AT205" s="72">
        <f>IFERROR(IFERROR(INDEX('2023 IP UPL Data'!L:L,MATCH(A:A,'2023 IP UPL Data'!B:B,0)),INDEX('2023 IMD UPL Data'!I:I,MATCH(A:A,'2023 IMD UPL Data'!B:B,0))),0)</f>
        <v>516.06827229899284</v>
      </c>
      <c r="AU205" s="72">
        <f>IFERROR(IF(F203="IMD",0,INDEX('2023 OP UPL Data'!J:J,MATCH(A:A,'2023 OP UPL Data'!B:B,0))),0)</f>
        <v>376439.6124503311</v>
      </c>
      <c r="AV205" s="45">
        <f t="shared" si="98"/>
        <v>376955.68072263012</v>
      </c>
      <c r="AW205" s="72">
        <f>IFERROR(IFERROR(INDEX('2023 IP UPL Data'!M:M,MATCH(A:A,'2023 IP UPL Data'!B:B,0)),INDEX('2023 IMD UPL Data'!K:K,MATCH(A:A,'2023 IMD UPL Data'!B:B,0))),0)</f>
        <v>4222.97</v>
      </c>
      <c r="AX205" s="72">
        <f>IFERROR(IF(F203="IMD",0,INDEX('2023 OP UPL Data'!L:L,MATCH(A:A,'2023 OP UPL Data'!B:B,0))),0)</f>
        <v>200400.52</v>
      </c>
      <c r="AY205" s="45">
        <f t="shared" si="99"/>
        <v>204623.49</v>
      </c>
      <c r="AZ205" s="72">
        <v>33819.162469377858</v>
      </c>
      <c r="BA205" s="72">
        <v>872200.99256861175</v>
      </c>
      <c r="BB205" s="72">
        <f t="shared" si="100"/>
        <v>33819.162469377858</v>
      </c>
      <c r="BC205" s="72">
        <f t="shared" si="100"/>
        <v>714778.27246456943</v>
      </c>
      <c r="BD205" s="72">
        <f t="shared" si="101"/>
        <v>748597.4349339474</v>
      </c>
      <c r="BE205" s="94">
        <f t="shared" si="102"/>
        <v>29596.192469377856</v>
      </c>
      <c r="BF205" s="94">
        <f t="shared" si="102"/>
        <v>671800.47256861173</v>
      </c>
      <c r="BG205" s="73">
        <f>IFERROR(INDEX('2023 IP UPL Data'!K:K,MATCH(A205,'2023 IP UPL Data'!B:B,0)),0)</f>
        <v>0</v>
      </c>
    </row>
    <row r="206" spans="1:59">
      <c r="A206" s="124" t="s">
        <v>1086</v>
      </c>
      <c r="B206" s="149" t="s">
        <v>1086</v>
      </c>
      <c r="C206" s="31" t="s">
        <v>1087</v>
      </c>
      <c r="D206" s="181" t="s">
        <v>1087</v>
      </c>
      <c r="E206" s="144" t="s">
        <v>3528</v>
      </c>
      <c r="F206" s="120" t="s">
        <v>2768</v>
      </c>
      <c r="G206" s="120" t="s">
        <v>1530</v>
      </c>
      <c r="H206" s="43" t="str">
        <f t="shared" si="82"/>
        <v>Rural Lubbock</v>
      </c>
      <c r="I206" s="45">
        <f>INDEX(FeeCalc!M:M,MATCH(C:C,FeeCalc!F:F,0))</f>
        <v>253914.17601227868</v>
      </c>
      <c r="J206" s="45">
        <f>INDEX(FeeCalc!L:L,MATCH(C:C,FeeCalc!F:F,0))</f>
        <v>500319.75997670938</v>
      </c>
      <c r="K206" s="45">
        <f t="shared" si="83"/>
        <v>754233.93598898803</v>
      </c>
      <c r="L206" s="45">
        <f>IFERROR(IFERROR(INDEX('2023 IP UPL Data'!N:N,MATCH(A:A,'2023 IP UPL Data'!B:B,0)),INDEX('2023 IMD UPL Data'!M:M,MATCH(A:A,'2023 IMD UPL Data'!B:B,0))),0)</f>
        <v>622908.50337049691</v>
      </c>
      <c r="M206" s="45">
        <f>IFERROR((IF(F206="IMD",0,INDEX('2023 OP UPL Data'!M:M,MATCH(A:A,'2023 OP UPL Data'!B:B,0)))),0)</f>
        <v>288411.57983240223</v>
      </c>
      <c r="N206" s="45">
        <f t="shared" si="84"/>
        <v>911320.0832028992</v>
      </c>
      <c r="O206" s="45">
        <v>704738.67321026628</v>
      </c>
      <c r="P206" s="45">
        <v>772228.80419156712</v>
      </c>
      <c r="Q206" s="45">
        <f t="shared" si="85"/>
        <v>1476967.4774018335</v>
      </c>
      <c r="R206" s="45" t="str">
        <f t="shared" si="86"/>
        <v>Yes</v>
      </c>
      <c r="S206" s="46" t="str">
        <f t="shared" si="86"/>
        <v>Yes</v>
      </c>
      <c r="T206" s="47">
        <f>ROUND(INDEX(Summary!H:H,MATCH(H:H,Summary!A:A,0)),2)</f>
        <v>0.32</v>
      </c>
      <c r="U206" s="47">
        <f>ROUND(INDEX(Summary!I:I,MATCH(H:H,Summary!A:A,0)),2)</f>
        <v>0.36</v>
      </c>
      <c r="V206" s="85">
        <f t="shared" si="87"/>
        <v>81252.536323929176</v>
      </c>
      <c r="W206" s="85">
        <f t="shared" si="87"/>
        <v>180115.11359161537</v>
      </c>
      <c r="X206" s="45">
        <f t="shared" si="88"/>
        <v>261367.64991554455</v>
      </c>
      <c r="Y206" s="45" t="s">
        <v>3224</v>
      </c>
      <c r="Z206" s="45" t="str">
        <f t="shared" si="89"/>
        <v>No</v>
      </c>
      <c r="AA206" s="45" t="str">
        <f t="shared" si="89"/>
        <v>No</v>
      </c>
      <c r="AB206" s="45" t="str">
        <f t="shared" si="90"/>
        <v>No</v>
      </c>
      <c r="AC206" s="86">
        <f t="shared" si="103"/>
        <v>0</v>
      </c>
      <c r="AD206" s="86">
        <f t="shared" si="104"/>
        <v>0</v>
      </c>
      <c r="AE206" s="45">
        <f t="shared" si="105"/>
        <v>0</v>
      </c>
      <c r="AF206" s="45">
        <f t="shared" si="105"/>
        <v>0</v>
      </c>
      <c r="AG206" s="45">
        <f t="shared" si="91"/>
        <v>0</v>
      </c>
      <c r="AH206" s="47">
        <f>IF(Y206="No",0,IFERROR(ROUNDDOWN(INDEX('90% of ACR'!K:K,MATCH(H:H,'90% of ACR'!A:A,0))*IF(I206&gt;0,IF(O206&gt;0,$R$4*MAX(O206-V206,0),0),0)/I206,2),0))</f>
        <v>0</v>
      </c>
      <c r="AI206" s="86">
        <f>IF(Y206="No",0,IFERROR(ROUNDDOWN(INDEX('90% of ACR'!R:R,MATCH(H:H,'90% of ACR'!A:A,0))*IF(J206&gt;0,IF(P206&gt;0,$R$4*MAX(P206-W206,0),0),0)/J206,2),0))</f>
        <v>0</v>
      </c>
      <c r="AJ206" s="45">
        <f t="shared" si="92"/>
        <v>0</v>
      </c>
      <c r="AK206" s="45">
        <f t="shared" si="92"/>
        <v>0</v>
      </c>
      <c r="AL206" s="47">
        <f t="shared" si="93"/>
        <v>0.32</v>
      </c>
      <c r="AM206" s="47">
        <f t="shared" si="93"/>
        <v>0.36</v>
      </c>
      <c r="AN206" s="87">
        <f>IFERROR(INDEX(FeeCalc!P:P,MATCH(C206,FeeCalc!F:F,0)),0)</f>
        <v>261367.64991554455</v>
      </c>
      <c r="AO206" s="87">
        <f>IFERROR(INDEX(FeeCalc!S:S,MATCH(C206,FeeCalc!F:F,0)),0)</f>
        <v>16036.257445512667</v>
      </c>
      <c r="AP206" s="87">
        <f t="shared" si="94"/>
        <v>277403.90736105724</v>
      </c>
      <c r="AQ206" s="72">
        <f t="shared" si="95"/>
        <v>117711.35481833215</v>
      </c>
      <c r="AR206" s="72">
        <f t="shared" si="96"/>
        <v>58855.677409166077</v>
      </c>
      <c r="AS206" s="72">
        <f t="shared" si="97"/>
        <v>58855.677409166077</v>
      </c>
      <c r="AT206" s="72">
        <f>IFERROR(IFERROR(INDEX('2023 IP UPL Data'!L:L,MATCH(A:A,'2023 IP UPL Data'!B:B,0)),INDEX('2023 IMD UPL Data'!I:I,MATCH(A:A,'2023 IMD UPL Data'!B:B,0))),0)</f>
        <v>291389.466629503</v>
      </c>
      <c r="AU206" s="72">
        <f>IFERROR(IF(F204="IMD",0,INDEX('2023 OP UPL Data'!J:J,MATCH(A:A,'2023 OP UPL Data'!B:B,0))),0)</f>
        <v>194001.99016759777</v>
      </c>
      <c r="AV206" s="45">
        <f t="shared" si="98"/>
        <v>485391.45679710078</v>
      </c>
      <c r="AW206" s="72">
        <f>IFERROR(IFERROR(INDEX('2023 IP UPL Data'!M:M,MATCH(A:A,'2023 IP UPL Data'!B:B,0)),INDEX('2023 IMD UPL Data'!K:K,MATCH(A:A,'2023 IMD UPL Data'!B:B,0))),0)</f>
        <v>914297.97</v>
      </c>
      <c r="AX206" s="72">
        <f>IFERROR(IF(F204="IMD",0,INDEX('2023 OP UPL Data'!L:L,MATCH(A:A,'2023 OP UPL Data'!B:B,0))),0)</f>
        <v>482413.57</v>
      </c>
      <c r="AY206" s="45">
        <f t="shared" si="99"/>
        <v>1396711.54</v>
      </c>
      <c r="AZ206" s="72">
        <v>996128.13983976922</v>
      </c>
      <c r="BA206" s="72">
        <v>966230.79435916489</v>
      </c>
      <c r="BB206" s="72">
        <f t="shared" si="100"/>
        <v>914875.60351584002</v>
      </c>
      <c r="BC206" s="72">
        <f t="shared" si="100"/>
        <v>786115.68076754955</v>
      </c>
      <c r="BD206" s="72">
        <f t="shared" si="101"/>
        <v>1700991.2842833896</v>
      </c>
      <c r="BE206" s="94">
        <f t="shared" si="102"/>
        <v>81830.169839769253</v>
      </c>
      <c r="BF206" s="94">
        <f t="shared" si="102"/>
        <v>483817.22435916489</v>
      </c>
      <c r="BG206" s="73">
        <f>IFERROR(INDEX('2023 IP UPL Data'!K:K,MATCH(A206,'2023 IP UPL Data'!B:B,0)),0)</f>
        <v>0</v>
      </c>
    </row>
    <row r="207" spans="1:59">
      <c r="A207" s="124" t="s">
        <v>3599</v>
      </c>
      <c r="B207" s="149" t="s">
        <v>3599</v>
      </c>
      <c r="C207" s="31" t="s">
        <v>3394</v>
      </c>
      <c r="D207" s="181" t="s">
        <v>3394</v>
      </c>
      <c r="E207" s="144" t="s">
        <v>3386</v>
      </c>
      <c r="F207" s="120" t="s">
        <v>2718</v>
      </c>
      <c r="G207" s="120" t="s">
        <v>1366</v>
      </c>
      <c r="H207" s="43" t="str">
        <f t="shared" si="82"/>
        <v>Urban Tarrant</v>
      </c>
      <c r="I207" s="45">
        <f>INDEX(FeeCalc!M:M,MATCH(C:C,FeeCalc!F:F,0))</f>
        <v>0</v>
      </c>
      <c r="J207" s="45">
        <f>INDEX(FeeCalc!L:L,MATCH(C:C,FeeCalc!F:F,0))</f>
        <v>2517.6016239639239</v>
      </c>
      <c r="K207" s="45">
        <f t="shared" si="83"/>
        <v>2517.6016239639239</v>
      </c>
      <c r="L207" s="45">
        <f>IFERROR(IFERROR(INDEX('2023 IP UPL Data'!N:N,MATCH(A:A,'2023 IP UPL Data'!B:B,0)),INDEX('2023 IMD UPL Data'!M:M,MATCH(A:A,'2023 IMD UPL Data'!B:B,0))),0)</f>
        <v>0</v>
      </c>
      <c r="M207" s="45">
        <f>IFERROR((IF(F207="IMD",0,INDEX('2023 OP UPL Data'!M:M,MATCH(A:A,'2023 OP UPL Data'!B:B,0)))),0)</f>
        <v>955.90000000000032</v>
      </c>
      <c r="N207" s="45">
        <f t="shared" si="84"/>
        <v>955.90000000000032</v>
      </c>
      <c r="O207" s="45">
        <v>0</v>
      </c>
      <c r="P207" s="45">
        <v>3010.3525369405443</v>
      </c>
      <c r="Q207" s="45">
        <f t="shared" si="85"/>
        <v>3010.3525369405443</v>
      </c>
      <c r="R207" s="45" t="str">
        <f t="shared" si="86"/>
        <v>No</v>
      </c>
      <c r="S207" s="46" t="str">
        <f t="shared" si="86"/>
        <v>Yes</v>
      </c>
      <c r="T207" s="47">
        <f>ROUND(INDEX(Summary!H:H,MATCH(H:H,Summary!A:A,0)),2)</f>
        <v>1.68</v>
      </c>
      <c r="U207" s="47">
        <f>ROUND(INDEX(Summary!I:I,MATCH(H:H,Summary!A:A,0)),2)</f>
        <v>1.42</v>
      </c>
      <c r="V207" s="85">
        <f t="shared" si="87"/>
        <v>0</v>
      </c>
      <c r="W207" s="85">
        <f t="shared" si="87"/>
        <v>3574.9943060287719</v>
      </c>
      <c r="X207" s="45">
        <f t="shared" si="88"/>
        <v>3574.9943060287719</v>
      </c>
      <c r="Y207" s="45" t="s">
        <v>3223</v>
      </c>
      <c r="Z207" s="45" t="str">
        <f t="shared" si="89"/>
        <v>No</v>
      </c>
      <c r="AA207" s="45" t="str">
        <f t="shared" si="89"/>
        <v>No</v>
      </c>
      <c r="AB207" s="45" t="str">
        <f t="shared" si="90"/>
        <v>No</v>
      </c>
      <c r="AC207" s="86">
        <f t="shared" si="103"/>
        <v>0</v>
      </c>
      <c r="AD207" s="86">
        <f t="shared" si="104"/>
        <v>0</v>
      </c>
      <c r="AE207" s="45">
        <f t="shared" si="105"/>
        <v>0</v>
      </c>
      <c r="AF207" s="45">
        <f t="shared" si="105"/>
        <v>0</v>
      </c>
      <c r="AG207" s="45">
        <f t="shared" si="91"/>
        <v>0</v>
      </c>
      <c r="AH207" s="47">
        <f>IF(Y207="No",0,IFERROR(ROUNDDOWN(INDEX('90% of ACR'!K:K,MATCH(H:H,'90% of ACR'!A:A,0))*IF(I207&gt;0,IF(O207&gt;0,$R$4*MAX(O207-V207,0),0),0)/I207,2),0))</f>
        <v>0</v>
      </c>
      <c r="AI207" s="86">
        <f>IF(Y207="No",0,IFERROR(ROUNDDOWN(INDEX('90% of ACR'!R:R,MATCH(H:H,'90% of ACR'!A:A,0))*IF(J207&gt;0,IF(P207&gt;0,$R$4*MAX(P207-W207,0),0),0)/J207,2),0))</f>
        <v>0</v>
      </c>
      <c r="AJ207" s="45">
        <f t="shared" si="92"/>
        <v>0</v>
      </c>
      <c r="AK207" s="45">
        <f t="shared" si="92"/>
        <v>0</v>
      </c>
      <c r="AL207" s="47">
        <f t="shared" si="93"/>
        <v>1.68</v>
      </c>
      <c r="AM207" s="47">
        <f t="shared" si="93"/>
        <v>1.42</v>
      </c>
      <c r="AN207" s="87">
        <f>IFERROR(INDEX(FeeCalc!P:P,MATCH(C207,FeeCalc!F:F,0)),0)</f>
        <v>3574.9943060287719</v>
      </c>
      <c r="AO207" s="87">
        <f>IFERROR(INDEX(FeeCalc!S:S,MATCH(C207,FeeCalc!F:F,0)),0)</f>
        <v>218.32369602007111</v>
      </c>
      <c r="AP207" s="87">
        <f t="shared" si="94"/>
        <v>3793.318002048843</v>
      </c>
      <c r="AQ207" s="72">
        <f t="shared" si="95"/>
        <v>1609.6262144453899</v>
      </c>
      <c r="AR207" s="72">
        <f t="shared" si="96"/>
        <v>804.81310722269495</v>
      </c>
      <c r="AS207" s="72">
        <f t="shared" si="97"/>
        <v>804.81310722269495</v>
      </c>
      <c r="AT207" s="72">
        <f>IFERROR(IFERROR(INDEX('2023 IP UPL Data'!L:L,MATCH(A:A,'2023 IP UPL Data'!B:B,0)),INDEX('2023 IMD UPL Data'!I:I,MATCH(A:A,'2023 IMD UPL Data'!B:B,0))),0)</f>
        <v>0</v>
      </c>
      <c r="AU207" s="72">
        <f>IFERROR(IF(F205="IMD",0,INDEX('2023 OP UPL Data'!J:J,MATCH(A:A,'2023 OP UPL Data'!B:B,0))),0)</f>
        <v>1130.1499999999999</v>
      </c>
      <c r="AV207" s="45">
        <f t="shared" si="98"/>
        <v>1130.1499999999999</v>
      </c>
      <c r="AW207" s="72">
        <f>IFERROR(IFERROR(INDEX('2023 IP UPL Data'!M:M,MATCH(A:A,'2023 IP UPL Data'!B:B,0)),INDEX('2023 IMD UPL Data'!K:K,MATCH(A:A,'2023 IMD UPL Data'!B:B,0))),0)</f>
        <v>0</v>
      </c>
      <c r="AX207" s="72">
        <f>IFERROR(IF(F205="IMD",0,INDEX('2023 OP UPL Data'!L:L,MATCH(A:A,'2023 OP UPL Data'!B:B,0))),0)</f>
        <v>2086.0500000000002</v>
      </c>
      <c r="AY207" s="45">
        <f t="shared" si="99"/>
        <v>2086.0500000000002</v>
      </c>
      <c r="AZ207" s="72">
        <v>0</v>
      </c>
      <c r="BA207" s="72">
        <v>4140.5025369405439</v>
      </c>
      <c r="BB207" s="72">
        <f t="shared" si="100"/>
        <v>0</v>
      </c>
      <c r="BC207" s="72">
        <f t="shared" si="100"/>
        <v>565.50823091177199</v>
      </c>
      <c r="BD207" s="72">
        <f t="shared" si="101"/>
        <v>565.50823091177199</v>
      </c>
      <c r="BE207" s="94">
        <f t="shared" si="102"/>
        <v>0</v>
      </c>
      <c r="BF207" s="94">
        <f t="shared" si="102"/>
        <v>2054.4525369405437</v>
      </c>
      <c r="BG207" s="73">
        <f>IFERROR(INDEX('2023 IP UPL Data'!K:K,MATCH(A207,'2023 IP UPL Data'!B:B,0)),0)</f>
        <v>0</v>
      </c>
    </row>
    <row r="208" spans="1:59">
      <c r="A208" s="124" t="s">
        <v>264</v>
      </c>
      <c r="B208" s="149" t="s">
        <v>264</v>
      </c>
      <c r="C208" s="31" t="s">
        <v>265</v>
      </c>
      <c r="D208" s="181" t="s">
        <v>265</v>
      </c>
      <c r="E208" s="144" t="s">
        <v>3349</v>
      </c>
      <c r="F208" s="120" t="s">
        <v>2718</v>
      </c>
      <c r="G208" s="120" t="s">
        <v>1366</v>
      </c>
      <c r="H208" s="43" t="str">
        <f t="shared" si="82"/>
        <v>Urban Tarrant</v>
      </c>
      <c r="I208" s="45">
        <f>INDEX(FeeCalc!M:M,MATCH(C:C,FeeCalc!F:F,0))</f>
        <v>2944379.4211427812</v>
      </c>
      <c r="J208" s="45">
        <f>INDEX(FeeCalc!L:L,MATCH(C:C,FeeCalc!F:F,0))</f>
        <v>1086752.0219680993</v>
      </c>
      <c r="K208" s="45">
        <f t="shared" si="83"/>
        <v>4031131.4431108804</v>
      </c>
      <c r="L208" s="45">
        <f>IFERROR(IFERROR(INDEX('2023 IP UPL Data'!N:N,MATCH(A:A,'2023 IP UPL Data'!B:B,0)),INDEX('2023 IMD UPL Data'!M:M,MATCH(A:A,'2023 IMD UPL Data'!B:B,0))),0)</f>
        <v>2193048.7962500001</v>
      </c>
      <c r="M208" s="45">
        <f>IFERROR((IF(F208="IMD",0,INDEX('2023 OP UPL Data'!M:M,MATCH(A:A,'2023 OP UPL Data'!B:B,0)))),0)</f>
        <v>1873605.96875</v>
      </c>
      <c r="N208" s="45">
        <f t="shared" si="84"/>
        <v>4066654.7650000001</v>
      </c>
      <c r="O208" s="45">
        <v>10785976.693813233</v>
      </c>
      <c r="P208" s="45">
        <v>3780988.5583399762</v>
      </c>
      <c r="Q208" s="45">
        <f t="shared" si="85"/>
        <v>14566965.252153208</v>
      </c>
      <c r="R208" s="45" t="str">
        <f t="shared" si="86"/>
        <v>Yes</v>
      </c>
      <c r="S208" s="46" t="str">
        <f t="shared" si="86"/>
        <v>Yes</v>
      </c>
      <c r="T208" s="47">
        <f>ROUND(INDEX(Summary!H:H,MATCH(H:H,Summary!A:A,0)),2)</f>
        <v>1.68</v>
      </c>
      <c r="U208" s="47">
        <f>ROUND(INDEX(Summary!I:I,MATCH(H:H,Summary!A:A,0)),2)</f>
        <v>1.42</v>
      </c>
      <c r="V208" s="85">
        <f t="shared" si="87"/>
        <v>4946557.4275198719</v>
      </c>
      <c r="W208" s="85">
        <f t="shared" si="87"/>
        <v>1543187.8711947009</v>
      </c>
      <c r="X208" s="45">
        <f t="shared" si="88"/>
        <v>6489745.2987145726</v>
      </c>
      <c r="Y208" s="45" t="s">
        <v>3223</v>
      </c>
      <c r="Z208" s="45" t="str">
        <f t="shared" si="89"/>
        <v>Yes</v>
      </c>
      <c r="AA208" s="45" t="str">
        <f t="shared" si="89"/>
        <v>Yes</v>
      </c>
      <c r="AB208" s="45" t="str">
        <f t="shared" si="90"/>
        <v>Yes</v>
      </c>
      <c r="AC208" s="86">
        <f t="shared" si="103"/>
        <v>1.38</v>
      </c>
      <c r="AD208" s="86">
        <f t="shared" si="104"/>
        <v>1.43</v>
      </c>
      <c r="AE208" s="45">
        <f t="shared" si="105"/>
        <v>4063243.6011770377</v>
      </c>
      <c r="AF208" s="45">
        <f t="shared" si="105"/>
        <v>1554055.391414382</v>
      </c>
      <c r="AG208" s="45">
        <f t="shared" si="91"/>
        <v>5617298.9925914202</v>
      </c>
      <c r="AH208" s="47">
        <f>IF(Y208="No",0,IFERROR(ROUNDDOWN(INDEX('90% of ACR'!K:K,MATCH(H:H,'90% of ACR'!A:A,0))*IF(I208&gt;0,IF(O208&gt;0,$R$4*MAX(O208-V208,0),0),0)/I208,2),0))</f>
        <v>1.38</v>
      </c>
      <c r="AI208" s="86">
        <f>IF(Y208="No",0,IFERROR(ROUNDDOWN(INDEX('90% of ACR'!R:R,MATCH(H:H,'90% of ACR'!A:A,0))*IF(J208&gt;0,IF(P208&gt;0,$R$4*MAX(P208-W208,0),0),0)/J208,2),0))</f>
        <v>1.1599999999999999</v>
      </c>
      <c r="AJ208" s="45">
        <f t="shared" si="92"/>
        <v>4063243.6011770377</v>
      </c>
      <c r="AK208" s="45">
        <f t="shared" si="92"/>
        <v>1260632.345482995</v>
      </c>
      <c r="AL208" s="47">
        <f t="shared" si="93"/>
        <v>3.0599999999999996</v>
      </c>
      <c r="AM208" s="47">
        <f t="shared" si="93"/>
        <v>2.58</v>
      </c>
      <c r="AN208" s="87">
        <f>IFERROR(INDEX(FeeCalc!P:P,MATCH(C208,FeeCalc!F:F,0)),0)</f>
        <v>11813621.245374605</v>
      </c>
      <c r="AO208" s="87">
        <f>IFERROR(INDEX(FeeCalc!S:S,MATCH(C208,FeeCalc!F:F,0)),0)</f>
        <v>730425.34854689031</v>
      </c>
      <c r="AP208" s="87">
        <f t="shared" si="94"/>
        <v>12544046.593921496</v>
      </c>
      <c r="AQ208" s="72">
        <f t="shared" si="95"/>
        <v>5322840.3792918967</v>
      </c>
      <c r="AR208" s="72">
        <f t="shared" si="96"/>
        <v>2661420.1896459484</v>
      </c>
      <c r="AS208" s="72">
        <f t="shared" si="97"/>
        <v>2661420.1896459484</v>
      </c>
      <c r="AT208" s="72">
        <f>IFERROR(IFERROR(INDEX('2023 IP UPL Data'!L:L,MATCH(A:A,'2023 IP UPL Data'!B:B,0)),INDEX('2023 IMD UPL Data'!I:I,MATCH(A:A,'2023 IMD UPL Data'!B:B,0))),0)</f>
        <v>2598574.8437499995</v>
      </c>
      <c r="AU208" s="72">
        <f>IFERROR(IF(F206="IMD",0,INDEX('2023 OP UPL Data'!J:J,MATCH(A:A,'2023 OP UPL Data'!B:B,0))),0)</f>
        <v>424683.18125000002</v>
      </c>
      <c r="AV208" s="45">
        <f t="shared" si="98"/>
        <v>3023258.0249999994</v>
      </c>
      <c r="AW208" s="72">
        <f>IFERROR(IFERROR(INDEX('2023 IP UPL Data'!M:M,MATCH(A:A,'2023 IP UPL Data'!B:B,0)),INDEX('2023 IMD UPL Data'!K:K,MATCH(A:A,'2023 IMD UPL Data'!B:B,0))),0)</f>
        <v>4791623.6399999997</v>
      </c>
      <c r="AX208" s="72">
        <f>IFERROR(IF(F206="IMD",0,INDEX('2023 OP UPL Data'!L:L,MATCH(A:A,'2023 OP UPL Data'!B:B,0))),0)</f>
        <v>2298289.15</v>
      </c>
      <c r="AY208" s="45">
        <f t="shared" si="99"/>
        <v>7089912.7899999991</v>
      </c>
      <c r="AZ208" s="72">
        <v>13384551.537563233</v>
      </c>
      <c r="BA208" s="72">
        <v>4205671.7395899761</v>
      </c>
      <c r="BB208" s="72">
        <f t="shared" si="100"/>
        <v>8437994.1100433618</v>
      </c>
      <c r="BC208" s="72">
        <f t="shared" si="100"/>
        <v>2662483.8683952754</v>
      </c>
      <c r="BD208" s="72">
        <f t="shared" si="101"/>
        <v>11100477.978438636</v>
      </c>
      <c r="BE208" s="94">
        <f t="shared" si="102"/>
        <v>8592927.897563234</v>
      </c>
      <c r="BF208" s="94">
        <f t="shared" si="102"/>
        <v>1907382.5895899762</v>
      </c>
      <c r="BG208" s="73">
        <f>IFERROR(INDEX('2023 IP UPL Data'!K:K,MATCH(A208,'2023 IP UPL Data'!B:B,0)),0)</f>
        <v>0</v>
      </c>
    </row>
    <row r="209" spans="1:59">
      <c r="A209" s="124" t="s">
        <v>3598</v>
      </c>
      <c r="B209" s="149" t="s">
        <v>3598</v>
      </c>
      <c r="C209" s="31" t="s">
        <v>3077</v>
      </c>
      <c r="D209" s="181" t="s">
        <v>3077</v>
      </c>
      <c r="E209" s="144" t="s">
        <v>3078</v>
      </c>
      <c r="F209" s="120" t="s">
        <v>2718</v>
      </c>
      <c r="G209" s="120" t="s">
        <v>223</v>
      </c>
      <c r="H209" s="43" t="str">
        <f t="shared" si="82"/>
        <v>Urban Dallas</v>
      </c>
      <c r="I209" s="45">
        <f>INDEX(FeeCalc!M:M,MATCH(C:C,FeeCalc!F:F,0))</f>
        <v>330235.20019389852</v>
      </c>
      <c r="J209" s="45">
        <f>INDEX(FeeCalc!L:L,MATCH(C:C,FeeCalc!F:F,0))</f>
        <v>820979.25651116529</v>
      </c>
      <c r="K209" s="45">
        <f t="shared" si="83"/>
        <v>1151214.4567050638</v>
      </c>
      <c r="L209" s="45">
        <f>IFERROR(IFERROR(INDEX('2023 IP UPL Data'!N:N,MATCH(A:A,'2023 IP UPL Data'!B:B,0)),INDEX('2023 IMD UPL Data'!M:M,MATCH(A:A,'2023 IMD UPL Data'!B:B,0))),0)</f>
        <v>54392.67</v>
      </c>
      <c r="M209" s="45">
        <f>IFERROR((IF(F209="IMD",0,INDEX('2023 OP UPL Data'!M:M,MATCH(A:A,'2023 OP UPL Data'!B:B,0)))),0)</f>
        <v>68711.639999999956</v>
      </c>
      <c r="N209" s="45">
        <f t="shared" si="84"/>
        <v>123104.30999999995</v>
      </c>
      <c r="O209" s="45">
        <v>108739.98323281751</v>
      </c>
      <c r="P209" s="45">
        <v>306518.78805190988</v>
      </c>
      <c r="Q209" s="45">
        <f t="shared" si="85"/>
        <v>415258.77128472738</v>
      </c>
      <c r="R209" s="45" t="str">
        <f t="shared" si="86"/>
        <v>Yes</v>
      </c>
      <c r="S209" s="46" t="str">
        <f t="shared" si="86"/>
        <v>Yes</v>
      </c>
      <c r="T209" s="47">
        <f>ROUND(INDEX(Summary!H:H,MATCH(H:H,Summary!A:A,0)),2)</f>
        <v>1.2</v>
      </c>
      <c r="U209" s="47">
        <f>ROUND(INDEX(Summary!I:I,MATCH(H:H,Summary!A:A,0)),2)</f>
        <v>1.08</v>
      </c>
      <c r="V209" s="85">
        <f t="shared" si="87"/>
        <v>396282.24023267819</v>
      </c>
      <c r="W209" s="85">
        <f t="shared" si="87"/>
        <v>886657.59703205863</v>
      </c>
      <c r="X209" s="45">
        <f t="shared" si="88"/>
        <v>1282939.8372647369</v>
      </c>
      <c r="Y209" s="45" t="s">
        <v>3223</v>
      </c>
      <c r="Z209" s="45" t="str">
        <f t="shared" si="89"/>
        <v>No</v>
      </c>
      <c r="AA209" s="45" t="str">
        <f t="shared" si="89"/>
        <v>No</v>
      </c>
      <c r="AB209" s="45" t="str">
        <f t="shared" si="90"/>
        <v>No</v>
      </c>
      <c r="AC209" s="86">
        <f t="shared" si="103"/>
        <v>0</v>
      </c>
      <c r="AD209" s="86">
        <f t="shared" si="104"/>
        <v>0</v>
      </c>
      <c r="AE209" s="45">
        <f t="shared" si="105"/>
        <v>0</v>
      </c>
      <c r="AF209" s="45">
        <f t="shared" si="105"/>
        <v>0</v>
      </c>
      <c r="AG209" s="45">
        <f t="shared" si="91"/>
        <v>0</v>
      </c>
      <c r="AH209" s="47">
        <f>IF(Y209="No",0,IFERROR(ROUNDDOWN(INDEX('90% of ACR'!K:K,MATCH(H:H,'90% of ACR'!A:A,0))*IF(I209&gt;0,IF(O209&gt;0,$R$4*MAX(O209-V209,0),0),0)/I209,2),0))</f>
        <v>0</v>
      </c>
      <c r="AI209" s="86">
        <f>IF(Y209="No",0,IFERROR(ROUNDDOWN(INDEX('90% of ACR'!R:R,MATCH(H:H,'90% of ACR'!A:A,0))*IF(J209&gt;0,IF(P209&gt;0,$R$4*MAX(P209-W209,0),0),0)/J209,2),0))</f>
        <v>0</v>
      </c>
      <c r="AJ209" s="45">
        <f t="shared" si="92"/>
        <v>0</v>
      </c>
      <c r="AK209" s="45">
        <f t="shared" si="92"/>
        <v>0</v>
      </c>
      <c r="AL209" s="47">
        <f t="shared" si="93"/>
        <v>1.2</v>
      </c>
      <c r="AM209" s="47">
        <f t="shared" si="93"/>
        <v>1.08</v>
      </c>
      <c r="AN209" s="87">
        <f>IFERROR(INDEX(FeeCalc!P:P,MATCH(C209,FeeCalc!F:F,0)),0)</f>
        <v>1282939.8372647369</v>
      </c>
      <c r="AO209" s="87">
        <f>IFERROR(INDEX(FeeCalc!S:S,MATCH(C209,FeeCalc!F:F,0)),0)</f>
        <v>79527.487709302193</v>
      </c>
      <c r="AP209" s="87">
        <f t="shared" si="94"/>
        <v>1362467.3249740391</v>
      </c>
      <c r="AQ209" s="72">
        <f t="shared" si="95"/>
        <v>578138.48494088405</v>
      </c>
      <c r="AR209" s="72">
        <f t="shared" si="96"/>
        <v>289069.24247044203</v>
      </c>
      <c r="AS209" s="72">
        <f t="shared" si="97"/>
        <v>289069.24247044203</v>
      </c>
      <c r="AT209" s="72">
        <f>IFERROR(IFERROR(INDEX('2023 IP UPL Data'!L:L,MATCH(A:A,'2023 IP UPL Data'!B:B,0)),INDEX('2023 IMD UPL Data'!I:I,MATCH(A:A,'2023 IMD UPL Data'!B:B,0))),0)</f>
        <v>25781.77</v>
      </c>
      <c r="AU209" s="72">
        <f>IFERROR(IF(F207="IMD",0,INDEX('2023 OP UPL Data'!J:J,MATCH(A:A,'2023 OP UPL Data'!B:B,0))),0)</f>
        <v>176032.01000000004</v>
      </c>
      <c r="AV209" s="45">
        <f t="shared" si="98"/>
        <v>201813.78000000003</v>
      </c>
      <c r="AW209" s="72">
        <f>IFERROR(IFERROR(INDEX('2023 IP UPL Data'!M:M,MATCH(A:A,'2023 IP UPL Data'!B:B,0)),INDEX('2023 IMD UPL Data'!K:K,MATCH(A:A,'2023 IMD UPL Data'!B:B,0))),0)</f>
        <v>80174.44</v>
      </c>
      <c r="AX209" s="72">
        <f>IFERROR(IF(F207="IMD",0,INDEX('2023 OP UPL Data'!L:L,MATCH(A:A,'2023 OP UPL Data'!B:B,0))),0)</f>
        <v>244743.65</v>
      </c>
      <c r="AY209" s="45">
        <f t="shared" si="99"/>
        <v>324918.08999999997</v>
      </c>
      <c r="AZ209" s="72">
        <v>134521.75323281751</v>
      </c>
      <c r="BA209" s="72">
        <v>482550.79805190989</v>
      </c>
      <c r="BB209" s="72">
        <f t="shared" si="100"/>
        <v>0</v>
      </c>
      <c r="BC209" s="72">
        <f t="shared" si="100"/>
        <v>0</v>
      </c>
      <c r="BD209" s="72">
        <f t="shared" si="101"/>
        <v>0</v>
      </c>
      <c r="BE209" s="94">
        <f t="shared" si="102"/>
        <v>54347.313232817512</v>
      </c>
      <c r="BF209" s="94">
        <f t="shared" si="102"/>
        <v>237807.1480519099</v>
      </c>
      <c r="BG209" s="73">
        <f>IFERROR(INDEX('2023 IP UPL Data'!K:K,MATCH(A209,'2023 IP UPL Data'!B:B,0)),0)</f>
        <v>0</v>
      </c>
    </row>
    <row r="210" spans="1:59">
      <c r="A210" s="124" t="s">
        <v>880</v>
      </c>
      <c r="B210" s="149" t="s">
        <v>880</v>
      </c>
      <c r="C210" s="31" t="s">
        <v>881</v>
      </c>
      <c r="D210" s="181" t="s">
        <v>881</v>
      </c>
      <c r="E210" s="144" t="s">
        <v>3348</v>
      </c>
      <c r="F210" s="120" t="s">
        <v>2718</v>
      </c>
      <c r="G210" s="120" t="s">
        <v>223</v>
      </c>
      <c r="H210" s="43" t="str">
        <f t="shared" si="82"/>
        <v>Urban Dallas</v>
      </c>
      <c r="I210" s="45">
        <f>INDEX(FeeCalc!M:M,MATCH(C:C,FeeCalc!F:F,0))</f>
        <v>15610838.132942591</v>
      </c>
      <c r="J210" s="45">
        <f>INDEX(FeeCalc!L:L,MATCH(C:C,FeeCalc!F:F,0))</f>
        <v>4057398.6726023965</v>
      </c>
      <c r="K210" s="45">
        <f t="shared" si="83"/>
        <v>19668236.805544987</v>
      </c>
      <c r="L210" s="45">
        <f>IFERROR(IFERROR(INDEX('2023 IP UPL Data'!N:N,MATCH(A:A,'2023 IP UPL Data'!B:B,0)),INDEX('2023 IMD UPL Data'!M:M,MATCH(A:A,'2023 IMD UPL Data'!B:B,0))),0)</f>
        <v>20887696.189156629</v>
      </c>
      <c r="M210" s="45">
        <f>IFERROR((IF(F210="IMD",0,INDEX('2023 OP UPL Data'!M:M,MATCH(A:A,'2023 OP UPL Data'!B:B,0)))),0)</f>
        <v>8889837.4825301208</v>
      </c>
      <c r="N210" s="45">
        <f t="shared" si="84"/>
        <v>29777533.67168675</v>
      </c>
      <c r="O210" s="45">
        <v>44546347.497417755</v>
      </c>
      <c r="P210" s="45">
        <v>13138543.717848495</v>
      </c>
      <c r="Q210" s="45">
        <f t="shared" si="85"/>
        <v>57684891.21526625</v>
      </c>
      <c r="R210" s="45" t="str">
        <f t="shared" si="86"/>
        <v>Yes</v>
      </c>
      <c r="S210" s="46" t="str">
        <f t="shared" si="86"/>
        <v>Yes</v>
      </c>
      <c r="T210" s="47">
        <f>ROUND(INDEX(Summary!H:H,MATCH(H:H,Summary!A:A,0)),2)</f>
        <v>1.2</v>
      </c>
      <c r="U210" s="47">
        <f>ROUND(INDEX(Summary!I:I,MATCH(H:H,Summary!A:A,0)),2)</f>
        <v>1.08</v>
      </c>
      <c r="V210" s="85">
        <f t="shared" si="87"/>
        <v>18733005.759531107</v>
      </c>
      <c r="W210" s="85">
        <f t="shared" si="87"/>
        <v>4381990.5664105881</v>
      </c>
      <c r="X210" s="45">
        <f t="shared" si="88"/>
        <v>23114996.325941697</v>
      </c>
      <c r="Y210" s="45" t="s">
        <v>3223</v>
      </c>
      <c r="Z210" s="45" t="str">
        <f t="shared" si="89"/>
        <v>Yes</v>
      </c>
      <c r="AA210" s="45" t="str">
        <f t="shared" si="89"/>
        <v>Yes</v>
      </c>
      <c r="AB210" s="45" t="str">
        <f t="shared" si="90"/>
        <v>Yes</v>
      </c>
      <c r="AC210" s="86">
        <f t="shared" si="103"/>
        <v>1.1499999999999999</v>
      </c>
      <c r="AD210" s="86">
        <f t="shared" si="104"/>
        <v>1.5</v>
      </c>
      <c r="AE210" s="45">
        <f t="shared" si="105"/>
        <v>17952463.85288398</v>
      </c>
      <c r="AF210" s="45">
        <f t="shared" si="105"/>
        <v>6086098.0089035947</v>
      </c>
      <c r="AG210" s="45">
        <f t="shared" si="91"/>
        <v>24038561.861787573</v>
      </c>
      <c r="AH210" s="47">
        <f>IF(Y210="No",0,IFERROR(ROUNDDOWN(INDEX('90% of ACR'!K:K,MATCH(H:H,'90% of ACR'!A:A,0))*IF(I210&gt;0,IF(O210&gt;0,$R$4*MAX(O210-V210,0),0),0)/I210,2),0))</f>
        <v>1.1100000000000001</v>
      </c>
      <c r="AI210" s="86">
        <f>IF(Y210="No",0,IFERROR(ROUNDDOWN(INDEX('90% of ACR'!R:R,MATCH(H:H,'90% of ACR'!A:A,0))*IF(J210&gt;0,IF(P210&gt;0,$R$4*MAX(P210-W210,0),0),0)/J210,2),0))</f>
        <v>1.5</v>
      </c>
      <c r="AJ210" s="45">
        <f t="shared" si="92"/>
        <v>17328030.327566277</v>
      </c>
      <c r="AK210" s="45">
        <f t="shared" si="92"/>
        <v>6086098.0089035947</v>
      </c>
      <c r="AL210" s="47">
        <f t="shared" si="93"/>
        <v>2.31</v>
      </c>
      <c r="AM210" s="47">
        <f t="shared" si="93"/>
        <v>2.58</v>
      </c>
      <c r="AN210" s="87">
        <f>IFERROR(INDEX(FeeCalc!P:P,MATCH(C210,FeeCalc!F:F,0)),0)</f>
        <v>46529124.662411571</v>
      </c>
      <c r="AO210" s="87">
        <f>IFERROR(INDEX(FeeCalc!S:S,MATCH(C210,FeeCalc!F:F,0)),0)</f>
        <v>2902057.3996572522</v>
      </c>
      <c r="AP210" s="87">
        <f t="shared" si="94"/>
        <v>49431182.06206882</v>
      </c>
      <c r="AQ210" s="72">
        <f t="shared" si="95"/>
        <v>20975232.346761789</v>
      </c>
      <c r="AR210" s="72">
        <f t="shared" si="96"/>
        <v>10487616.173380895</v>
      </c>
      <c r="AS210" s="72">
        <f t="shared" si="97"/>
        <v>10487616.173380895</v>
      </c>
      <c r="AT210" s="72">
        <f>IFERROR(IFERROR(INDEX('2023 IP UPL Data'!L:L,MATCH(A:A,'2023 IP UPL Data'!B:B,0)),INDEX('2023 IMD UPL Data'!I:I,MATCH(A:A,'2023 IMD UPL Data'!B:B,0))),0)</f>
        <v>18201051.210843369</v>
      </c>
      <c r="AU210" s="72">
        <f>IFERROR(IF(F208="IMD",0,INDEX('2023 OP UPL Data'!J:J,MATCH(A:A,'2023 OP UPL Data'!B:B,0))),0)</f>
        <v>1923102.8674698789</v>
      </c>
      <c r="AV210" s="45">
        <f t="shared" si="98"/>
        <v>20124154.078313246</v>
      </c>
      <c r="AW210" s="72">
        <f>IFERROR(IFERROR(INDEX('2023 IP UPL Data'!M:M,MATCH(A:A,'2023 IP UPL Data'!B:B,0)),INDEX('2023 IMD UPL Data'!K:K,MATCH(A:A,'2023 IMD UPL Data'!B:B,0))),0)</f>
        <v>39088747.399999999</v>
      </c>
      <c r="AX210" s="72">
        <f>IFERROR(IF(F208="IMD",0,INDEX('2023 OP UPL Data'!L:L,MATCH(A:A,'2023 OP UPL Data'!B:B,0))),0)</f>
        <v>10812940.35</v>
      </c>
      <c r="AY210" s="45">
        <f t="shared" si="99"/>
        <v>49901687.75</v>
      </c>
      <c r="AZ210" s="72">
        <v>62747398.708261125</v>
      </c>
      <c r="BA210" s="72">
        <v>15061646.585318374</v>
      </c>
      <c r="BB210" s="72">
        <f t="shared" si="100"/>
        <v>44014392.948730022</v>
      </c>
      <c r="BC210" s="72">
        <f t="shared" si="100"/>
        <v>10679656.018907785</v>
      </c>
      <c r="BD210" s="72">
        <f t="shared" si="101"/>
        <v>54694048.967637807</v>
      </c>
      <c r="BE210" s="94">
        <f t="shared" si="102"/>
        <v>23658651.308261126</v>
      </c>
      <c r="BF210" s="94">
        <f t="shared" si="102"/>
        <v>4248706.2353183739</v>
      </c>
      <c r="BG210" s="73">
        <f>IFERROR(INDEX('2023 IP UPL Data'!K:K,MATCH(A210,'2023 IP UPL Data'!B:B,0)),0)</f>
        <v>0</v>
      </c>
    </row>
    <row r="211" spans="1:59">
      <c r="A211" s="124" t="s">
        <v>874</v>
      </c>
      <c r="B211" s="149" t="s">
        <v>874</v>
      </c>
      <c r="C211" s="31" t="s">
        <v>875</v>
      </c>
      <c r="D211" s="181" t="s">
        <v>875</v>
      </c>
      <c r="E211" s="144" t="s">
        <v>3347</v>
      </c>
      <c r="F211" s="120" t="s">
        <v>2718</v>
      </c>
      <c r="G211" s="120" t="s">
        <v>223</v>
      </c>
      <c r="H211" s="43" t="str">
        <f t="shared" si="82"/>
        <v>Urban Dallas</v>
      </c>
      <c r="I211" s="45">
        <f>INDEX(FeeCalc!M:M,MATCH(C:C,FeeCalc!F:F,0))</f>
        <v>8609476.4789543301</v>
      </c>
      <c r="J211" s="45">
        <f>INDEX(FeeCalc!L:L,MATCH(C:C,FeeCalc!F:F,0))</f>
        <v>3494675.6512483452</v>
      </c>
      <c r="K211" s="45">
        <f t="shared" si="83"/>
        <v>12104152.130202675</v>
      </c>
      <c r="L211" s="45">
        <f>IFERROR(IFERROR(INDEX('2023 IP UPL Data'!N:N,MATCH(A:A,'2023 IP UPL Data'!B:B,0)),INDEX('2023 IMD UPL Data'!M:M,MATCH(A:A,'2023 IMD UPL Data'!B:B,0))),0)</f>
        <v>8890180.4127710853</v>
      </c>
      <c r="M211" s="45">
        <f>IFERROR((IF(F211="IMD",0,INDEX('2023 OP UPL Data'!M:M,MATCH(A:A,'2023 OP UPL Data'!B:B,0)))),0)</f>
        <v>4643192.178192771</v>
      </c>
      <c r="N211" s="45">
        <f t="shared" si="84"/>
        <v>13533372.590963855</v>
      </c>
      <c r="O211" s="45">
        <v>27930174.41834192</v>
      </c>
      <c r="P211" s="45">
        <v>9692644.8716171645</v>
      </c>
      <c r="Q211" s="45">
        <f t="shared" si="85"/>
        <v>37622819.289959088</v>
      </c>
      <c r="R211" s="45" t="str">
        <f t="shared" si="86"/>
        <v>Yes</v>
      </c>
      <c r="S211" s="46" t="str">
        <f t="shared" si="86"/>
        <v>Yes</v>
      </c>
      <c r="T211" s="47">
        <f>ROUND(INDEX(Summary!H:H,MATCH(H:H,Summary!A:A,0)),2)</f>
        <v>1.2</v>
      </c>
      <c r="U211" s="47">
        <f>ROUND(INDEX(Summary!I:I,MATCH(H:H,Summary!A:A,0)),2)</f>
        <v>1.08</v>
      </c>
      <c r="V211" s="85">
        <f t="shared" si="87"/>
        <v>10331371.774745196</v>
      </c>
      <c r="W211" s="85">
        <f t="shared" si="87"/>
        <v>3774249.7033482129</v>
      </c>
      <c r="X211" s="45">
        <f t="shared" si="88"/>
        <v>14105621.478093408</v>
      </c>
      <c r="Y211" s="45" t="s">
        <v>3223</v>
      </c>
      <c r="Z211" s="45" t="str">
        <f t="shared" si="89"/>
        <v>Yes</v>
      </c>
      <c r="AA211" s="45" t="str">
        <f t="shared" si="89"/>
        <v>Yes</v>
      </c>
      <c r="AB211" s="45" t="str">
        <f t="shared" si="90"/>
        <v>Yes</v>
      </c>
      <c r="AC211" s="86">
        <f t="shared" si="103"/>
        <v>1.42</v>
      </c>
      <c r="AD211" s="86">
        <f t="shared" si="104"/>
        <v>1.18</v>
      </c>
      <c r="AE211" s="45">
        <f t="shared" si="105"/>
        <v>12225456.600115148</v>
      </c>
      <c r="AF211" s="45">
        <f t="shared" si="105"/>
        <v>4123717.2684730468</v>
      </c>
      <c r="AG211" s="45">
        <f t="shared" si="91"/>
        <v>16349173.868588194</v>
      </c>
      <c r="AH211" s="47">
        <f>IF(Y211="No",0,IFERROR(ROUNDDOWN(INDEX('90% of ACR'!K:K,MATCH(H:H,'90% of ACR'!A:A,0))*IF(I211&gt;0,IF(O211&gt;0,$R$4*MAX(O211-V211,0),0),0)/I211,2),0))</f>
        <v>1.37</v>
      </c>
      <c r="AI211" s="86">
        <f>IF(Y211="No",0,IFERROR(ROUNDDOWN(INDEX('90% of ACR'!R:R,MATCH(H:H,'90% of ACR'!A:A,0))*IF(J211&gt;0,IF(P211&gt;0,$R$4*MAX(P211-W211,0),0),0)/J211,2),0))</f>
        <v>1.17</v>
      </c>
      <c r="AJ211" s="45">
        <f t="shared" si="92"/>
        <v>11794982.776167434</v>
      </c>
      <c r="AK211" s="45">
        <f t="shared" si="92"/>
        <v>4088770.5119605637</v>
      </c>
      <c r="AL211" s="47">
        <f t="shared" si="93"/>
        <v>2.5700000000000003</v>
      </c>
      <c r="AM211" s="47">
        <f t="shared" si="93"/>
        <v>2.25</v>
      </c>
      <c r="AN211" s="87">
        <f>IFERROR(INDEX(FeeCalc!P:P,MATCH(C211,FeeCalc!F:F,0)),0)</f>
        <v>29989374.766221404</v>
      </c>
      <c r="AO211" s="87">
        <f>IFERROR(INDEX(FeeCalc!S:S,MATCH(C211,FeeCalc!F:F,0)),0)</f>
        <v>1882534.5661118864</v>
      </c>
      <c r="AP211" s="87">
        <f t="shared" si="94"/>
        <v>31871909.332333289</v>
      </c>
      <c r="AQ211" s="72">
        <f t="shared" si="95"/>
        <v>13524271.03080765</v>
      </c>
      <c r="AR211" s="72">
        <f t="shared" si="96"/>
        <v>6762135.5154038249</v>
      </c>
      <c r="AS211" s="72">
        <f t="shared" si="97"/>
        <v>6762135.5154038249</v>
      </c>
      <c r="AT211" s="72">
        <f>IFERROR(IFERROR(INDEX('2023 IP UPL Data'!L:L,MATCH(A:A,'2023 IP UPL Data'!B:B,0)),INDEX('2023 IMD UPL Data'!I:I,MATCH(A:A,'2023 IMD UPL Data'!B:B,0))),0)</f>
        <v>8347682.3072289135</v>
      </c>
      <c r="AU211" s="72">
        <f>IFERROR(IF(F209="IMD",0,INDEX('2023 OP UPL Data'!J:J,MATCH(A:A,'2023 OP UPL Data'!B:B,0))),0)</f>
        <v>1609091.4518072288</v>
      </c>
      <c r="AV211" s="45">
        <f t="shared" si="98"/>
        <v>9956773.7590361424</v>
      </c>
      <c r="AW211" s="72">
        <f>IFERROR(IFERROR(INDEX('2023 IP UPL Data'!M:M,MATCH(A:A,'2023 IP UPL Data'!B:B,0)),INDEX('2023 IMD UPL Data'!K:K,MATCH(A:A,'2023 IMD UPL Data'!B:B,0))),0)</f>
        <v>17237862.719999999</v>
      </c>
      <c r="AX211" s="72">
        <f>IFERROR(IF(F209="IMD",0,INDEX('2023 OP UPL Data'!L:L,MATCH(A:A,'2023 OP UPL Data'!B:B,0))),0)</f>
        <v>6252283.6299999999</v>
      </c>
      <c r="AY211" s="45">
        <f t="shared" si="99"/>
        <v>23490146.349999998</v>
      </c>
      <c r="AZ211" s="72">
        <v>36277856.725570835</v>
      </c>
      <c r="BA211" s="72">
        <v>11301736.323424393</v>
      </c>
      <c r="BB211" s="72">
        <f t="shared" si="100"/>
        <v>25946484.950825639</v>
      </c>
      <c r="BC211" s="72">
        <f t="shared" si="100"/>
        <v>7527486.6200761804</v>
      </c>
      <c r="BD211" s="72">
        <f t="shared" si="101"/>
        <v>33473971.570901819</v>
      </c>
      <c r="BE211" s="94">
        <f t="shared" si="102"/>
        <v>19039994.005570836</v>
      </c>
      <c r="BF211" s="94">
        <f t="shared" si="102"/>
        <v>5049452.6934243934</v>
      </c>
      <c r="BG211" s="73">
        <f>IFERROR(INDEX('2023 IP UPL Data'!K:K,MATCH(A211,'2023 IP UPL Data'!B:B,0)),0)</f>
        <v>0</v>
      </c>
    </row>
    <row r="212" spans="1:59">
      <c r="A212" s="124" t="s">
        <v>267</v>
      </c>
      <c r="B212" s="149" t="s">
        <v>267</v>
      </c>
      <c r="C212" s="31" t="s">
        <v>268</v>
      </c>
      <c r="D212" s="181" t="s">
        <v>268</v>
      </c>
      <c r="E212" s="144" t="s">
        <v>3350</v>
      </c>
      <c r="F212" s="120" t="s">
        <v>2718</v>
      </c>
      <c r="G212" s="120" t="s">
        <v>223</v>
      </c>
      <c r="H212" s="43" t="str">
        <f t="shared" si="82"/>
        <v>Urban Dallas</v>
      </c>
      <c r="I212" s="45">
        <f>INDEX(FeeCalc!M:M,MATCH(C:C,FeeCalc!F:F,0))</f>
        <v>4086633.9804578861</v>
      </c>
      <c r="J212" s="45">
        <f>INDEX(FeeCalc!L:L,MATCH(C:C,FeeCalc!F:F,0))</f>
        <v>1736574.5618234291</v>
      </c>
      <c r="K212" s="45">
        <f t="shared" si="83"/>
        <v>5823208.5422813147</v>
      </c>
      <c r="L212" s="45">
        <f>IFERROR(IFERROR(INDEX('2023 IP UPL Data'!N:N,MATCH(A:A,'2023 IP UPL Data'!B:B,0)),INDEX('2023 IMD UPL Data'!M:M,MATCH(A:A,'2023 IMD UPL Data'!B:B,0))),0)</f>
        <v>4620587.7357831318</v>
      </c>
      <c r="M212" s="45">
        <f>IFERROR((IF(F212="IMD",0,INDEX('2023 OP UPL Data'!M:M,MATCH(A:A,'2023 OP UPL Data'!B:B,0)))),0)</f>
        <v>2587362.2181927711</v>
      </c>
      <c r="N212" s="45">
        <f t="shared" si="84"/>
        <v>7207949.9539759029</v>
      </c>
      <c r="O212" s="45">
        <v>16449004.311191378</v>
      </c>
      <c r="P212" s="45">
        <v>4005178.6236726595</v>
      </c>
      <c r="Q212" s="45">
        <f t="shared" si="85"/>
        <v>20454182.934864037</v>
      </c>
      <c r="R212" s="45" t="str">
        <f t="shared" si="86"/>
        <v>Yes</v>
      </c>
      <c r="S212" s="46" t="str">
        <f t="shared" si="86"/>
        <v>Yes</v>
      </c>
      <c r="T212" s="47">
        <f>ROUND(INDEX(Summary!H:H,MATCH(H:H,Summary!A:A,0)),2)</f>
        <v>1.2</v>
      </c>
      <c r="U212" s="47">
        <f>ROUND(INDEX(Summary!I:I,MATCH(H:H,Summary!A:A,0)),2)</f>
        <v>1.08</v>
      </c>
      <c r="V212" s="85">
        <f t="shared" si="87"/>
        <v>4903960.7765494632</v>
      </c>
      <c r="W212" s="85">
        <f t="shared" si="87"/>
        <v>1875500.5267693035</v>
      </c>
      <c r="X212" s="45">
        <f t="shared" si="88"/>
        <v>6779461.3033187669</v>
      </c>
      <c r="Y212" s="45" t="s">
        <v>3223</v>
      </c>
      <c r="Z212" s="45" t="str">
        <f t="shared" si="89"/>
        <v>Yes</v>
      </c>
      <c r="AA212" s="45" t="str">
        <f t="shared" si="89"/>
        <v>Yes</v>
      </c>
      <c r="AB212" s="45" t="str">
        <f t="shared" si="90"/>
        <v>Yes</v>
      </c>
      <c r="AC212" s="86">
        <f t="shared" si="103"/>
        <v>1.97</v>
      </c>
      <c r="AD212" s="86">
        <f t="shared" si="104"/>
        <v>0.85</v>
      </c>
      <c r="AE212" s="45">
        <f t="shared" si="105"/>
        <v>8050668.9415020356</v>
      </c>
      <c r="AF212" s="45">
        <f t="shared" si="105"/>
        <v>1476088.3775499146</v>
      </c>
      <c r="AG212" s="45">
        <f t="shared" si="91"/>
        <v>9526757.3190519512</v>
      </c>
      <c r="AH212" s="47">
        <f>IF(Y212="No",0,IFERROR(ROUNDDOWN(INDEX('90% of ACR'!K:K,MATCH(H:H,'90% of ACR'!A:A,0))*IF(I212&gt;0,IF(O212&gt;0,$R$4*MAX(O212-V212,0),0),0)/I212,2),0))</f>
        <v>1.9</v>
      </c>
      <c r="AI212" s="86">
        <f>IF(Y212="No",0,IFERROR(ROUNDDOWN(INDEX('90% of ACR'!R:R,MATCH(H:H,'90% of ACR'!A:A,0))*IF(J212&gt;0,IF(P212&gt;0,$R$4*MAX(P212-W212,0),0),0)/J212,2),0))</f>
        <v>0.85</v>
      </c>
      <c r="AJ212" s="45">
        <f t="shared" si="92"/>
        <v>7764604.5628699837</v>
      </c>
      <c r="AK212" s="45">
        <f t="shared" si="92"/>
        <v>1476088.3775499146</v>
      </c>
      <c r="AL212" s="47">
        <f t="shared" si="93"/>
        <v>3.0999999999999996</v>
      </c>
      <c r="AM212" s="47">
        <f t="shared" si="93"/>
        <v>1.9300000000000002</v>
      </c>
      <c r="AN212" s="87">
        <f>IFERROR(INDEX(FeeCalc!P:P,MATCH(C212,FeeCalc!F:F,0)),0)</f>
        <v>16020154.243738662</v>
      </c>
      <c r="AO212" s="87">
        <f>IFERROR(INDEX(FeeCalc!S:S,MATCH(C212,FeeCalc!F:F,0)),0)</f>
        <v>994903.27743417304</v>
      </c>
      <c r="AP212" s="87">
        <f t="shared" si="94"/>
        <v>17015057.521172836</v>
      </c>
      <c r="AQ212" s="72">
        <f t="shared" si="95"/>
        <v>7220033.3880743124</v>
      </c>
      <c r="AR212" s="72">
        <f t="shared" si="96"/>
        <v>3610016.6940371562</v>
      </c>
      <c r="AS212" s="72">
        <f t="shared" si="97"/>
        <v>3610016.6940371562</v>
      </c>
      <c r="AT212" s="72">
        <f>IFERROR(IFERROR(INDEX('2023 IP UPL Data'!L:L,MATCH(A:A,'2023 IP UPL Data'!B:B,0)),INDEX('2023 IMD UPL Data'!I:I,MATCH(A:A,'2023 IMD UPL Data'!B:B,0))),0)</f>
        <v>4510371.5542168673</v>
      </c>
      <c r="AU212" s="72">
        <f>IFERROR(IF(F210="IMD",0,INDEX('2023 OP UPL Data'!J:J,MATCH(A:A,'2023 OP UPL Data'!B:B,0))),0)</f>
        <v>982359.95180722885</v>
      </c>
      <c r="AV212" s="45">
        <f t="shared" si="98"/>
        <v>5492731.5060240962</v>
      </c>
      <c r="AW212" s="72">
        <f>IFERROR(IFERROR(INDEX('2023 IP UPL Data'!M:M,MATCH(A:A,'2023 IP UPL Data'!B:B,0)),INDEX('2023 IMD UPL Data'!K:K,MATCH(A:A,'2023 IMD UPL Data'!B:B,0))),0)</f>
        <v>9130959.2899999991</v>
      </c>
      <c r="AX212" s="72">
        <f>IFERROR(IF(F210="IMD",0,INDEX('2023 OP UPL Data'!L:L,MATCH(A:A,'2023 OP UPL Data'!B:B,0))),0)</f>
        <v>3569722.17</v>
      </c>
      <c r="AY212" s="45">
        <f t="shared" si="99"/>
        <v>12700681.459999999</v>
      </c>
      <c r="AZ212" s="72">
        <v>20959375.865408245</v>
      </c>
      <c r="BA212" s="72">
        <v>4987538.5754798884</v>
      </c>
      <c r="BB212" s="72">
        <f t="shared" si="100"/>
        <v>16055415.088858783</v>
      </c>
      <c r="BC212" s="72">
        <f t="shared" si="100"/>
        <v>3112038.0487105846</v>
      </c>
      <c r="BD212" s="72">
        <f t="shared" si="101"/>
        <v>19167453.137569368</v>
      </c>
      <c r="BE212" s="94">
        <f t="shared" si="102"/>
        <v>11828416.575408246</v>
      </c>
      <c r="BF212" s="94">
        <f t="shared" si="102"/>
        <v>1417816.4054798884</v>
      </c>
      <c r="BG212" s="73">
        <f>IFERROR(INDEX('2023 IP UPL Data'!K:K,MATCH(A212,'2023 IP UPL Data'!B:B,0)),0)</f>
        <v>0</v>
      </c>
    </row>
    <row r="213" spans="1:59">
      <c r="A213" s="124" t="s">
        <v>503</v>
      </c>
      <c r="B213" s="149" t="s">
        <v>503</v>
      </c>
      <c r="C213" s="31" t="s">
        <v>504</v>
      </c>
      <c r="D213" s="181" t="s">
        <v>504</v>
      </c>
      <c r="E213" s="144" t="s">
        <v>2954</v>
      </c>
      <c r="F213" s="120" t="s">
        <v>2718</v>
      </c>
      <c r="G213" s="120" t="s">
        <v>1555</v>
      </c>
      <c r="H213" s="43" t="str">
        <f t="shared" si="82"/>
        <v>Urban Jefferson</v>
      </c>
      <c r="I213" s="45">
        <f>INDEX(FeeCalc!M:M,MATCH(C:C,FeeCalc!F:F,0))</f>
        <v>6827165.2051351545</v>
      </c>
      <c r="J213" s="45">
        <f>INDEX(FeeCalc!L:L,MATCH(C:C,FeeCalc!F:F,0))</f>
        <v>5063136.8533118805</v>
      </c>
      <c r="K213" s="45">
        <f t="shared" si="83"/>
        <v>11890302.058447035</v>
      </c>
      <c r="L213" s="45">
        <f>IFERROR(IFERROR(INDEX('2023 IP UPL Data'!N:N,MATCH(A:A,'2023 IP UPL Data'!B:B,0)),INDEX('2023 IMD UPL Data'!M:M,MATCH(A:A,'2023 IMD UPL Data'!B:B,0))),0)</f>
        <v>8355307.0613973793</v>
      </c>
      <c r="M213" s="45">
        <f>IFERROR((IF(F213="IMD",0,INDEX('2023 OP UPL Data'!M:M,MATCH(A:A,'2023 OP UPL Data'!B:B,0)))),0)</f>
        <v>12185288.500917032</v>
      </c>
      <c r="N213" s="45">
        <f t="shared" si="84"/>
        <v>20540595.562314413</v>
      </c>
      <c r="O213" s="45">
        <v>8521983.3063902799</v>
      </c>
      <c r="P213" s="45">
        <v>12214627.018101797</v>
      </c>
      <c r="Q213" s="45">
        <f t="shared" si="85"/>
        <v>20736610.324492075</v>
      </c>
      <c r="R213" s="45" t="str">
        <f t="shared" si="86"/>
        <v>Yes</v>
      </c>
      <c r="S213" s="46" t="str">
        <f t="shared" si="86"/>
        <v>Yes</v>
      </c>
      <c r="T213" s="47">
        <f>ROUND(INDEX(Summary!H:H,MATCH(H:H,Summary!A:A,0)),2)</f>
        <v>1.34</v>
      </c>
      <c r="U213" s="47">
        <f>ROUND(INDEX(Summary!I:I,MATCH(H:H,Summary!A:A,0)),2)</f>
        <v>1.7</v>
      </c>
      <c r="V213" s="85">
        <f t="shared" si="87"/>
        <v>9148401.3748811074</v>
      </c>
      <c r="W213" s="85">
        <f t="shared" si="87"/>
        <v>8607332.6506301966</v>
      </c>
      <c r="X213" s="45">
        <f t="shared" si="88"/>
        <v>17755734.025511302</v>
      </c>
      <c r="Y213" s="45" t="s">
        <v>3223</v>
      </c>
      <c r="Z213" s="45" t="str">
        <f t="shared" si="89"/>
        <v>No</v>
      </c>
      <c r="AA213" s="45" t="str">
        <f t="shared" si="89"/>
        <v>Yes</v>
      </c>
      <c r="AB213" s="45" t="str">
        <f t="shared" si="90"/>
        <v>Yes</v>
      </c>
      <c r="AC213" s="86">
        <f t="shared" si="103"/>
        <v>0</v>
      </c>
      <c r="AD213" s="86">
        <f t="shared" si="104"/>
        <v>0.5</v>
      </c>
      <c r="AE213" s="45">
        <f t="shared" si="105"/>
        <v>0</v>
      </c>
      <c r="AF213" s="45">
        <f t="shared" si="105"/>
        <v>2531568.4266559402</v>
      </c>
      <c r="AG213" s="45">
        <f t="shared" si="91"/>
        <v>2531568.4266559402</v>
      </c>
      <c r="AH213" s="47">
        <f>IF(Y213="No",0,IFERROR(ROUNDDOWN(INDEX('90% of ACR'!K:K,MATCH(H:H,'90% of ACR'!A:A,0))*IF(I213&gt;0,IF(O213&gt;0,$R$4*MAX(O213-V213,0),0),0)/I213,2),0))</f>
        <v>0</v>
      </c>
      <c r="AI213" s="86">
        <f>IF(Y213="No",0,IFERROR(ROUNDDOWN(INDEX('90% of ACR'!R:R,MATCH(H:H,'90% of ACR'!A:A,0))*IF(J213&gt;0,IF(P213&gt;0,$R$4*MAX(P213-W213,0),0),0)/J213,2),0))</f>
        <v>0.41</v>
      </c>
      <c r="AJ213" s="45">
        <f t="shared" si="92"/>
        <v>0</v>
      </c>
      <c r="AK213" s="45">
        <f t="shared" si="92"/>
        <v>2075886.109857871</v>
      </c>
      <c r="AL213" s="47">
        <f t="shared" si="93"/>
        <v>1.34</v>
      </c>
      <c r="AM213" s="47">
        <f t="shared" si="93"/>
        <v>2.11</v>
      </c>
      <c r="AN213" s="87">
        <f>IFERROR(INDEX(FeeCalc!P:P,MATCH(C213,FeeCalc!F:F,0)),0)</f>
        <v>19831620.135369174</v>
      </c>
      <c r="AO213" s="87">
        <f>IFERROR(INDEX(FeeCalc!S:S,MATCH(C213,FeeCalc!F:F,0)),0)</f>
        <v>1234617.2893379116</v>
      </c>
      <c r="AP213" s="87">
        <f t="shared" si="94"/>
        <v>21066237.424707085</v>
      </c>
      <c r="AQ213" s="72">
        <f t="shared" si="95"/>
        <v>8939078.6589008085</v>
      </c>
      <c r="AR213" s="72">
        <f t="shared" si="96"/>
        <v>4469539.3294504043</v>
      </c>
      <c r="AS213" s="72">
        <f t="shared" si="97"/>
        <v>4469539.3294504043</v>
      </c>
      <c r="AT213" s="72">
        <f>IFERROR(IFERROR(INDEX('2023 IP UPL Data'!L:L,MATCH(A:A,'2023 IP UPL Data'!B:B,0)),INDEX('2023 IMD UPL Data'!I:I,MATCH(A:A,'2023 IMD UPL Data'!B:B,0))),0)</f>
        <v>7891350.0786026213</v>
      </c>
      <c r="AU213" s="72">
        <f>IFERROR(IF(F211="IMD",0,INDEX('2023 OP UPL Data'!J:J,MATCH(A:A,'2023 OP UPL Data'!B:B,0))),0)</f>
        <v>2973998.4890829688</v>
      </c>
      <c r="AV213" s="45">
        <f t="shared" si="98"/>
        <v>10865348.567685589</v>
      </c>
      <c r="AW213" s="72">
        <f>IFERROR(IFERROR(INDEX('2023 IP UPL Data'!M:M,MATCH(A:A,'2023 IP UPL Data'!B:B,0)),INDEX('2023 IMD UPL Data'!K:K,MATCH(A:A,'2023 IMD UPL Data'!B:B,0))),0)</f>
        <v>16246657.140000001</v>
      </c>
      <c r="AX213" s="72">
        <f>IFERROR(IF(F211="IMD",0,INDEX('2023 OP UPL Data'!L:L,MATCH(A:A,'2023 OP UPL Data'!B:B,0))),0)</f>
        <v>15159286.99</v>
      </c>
      <c r="AY213" s="45">
        <f t="shared" si="99"/>
        <v>31405944.130000003</v>
      </c>
      <c r="AZ213" s="72">
        <v>16413333.384992901</v>
      </c>
      <c r="BA213" s="72">
        <v>15188625.507184766</v>
      </c>
      <c r="BB213" s="72">
        <f t="shared" si="100"/>
        <v>7264932.0101117939</v>
      </c>
      <c r="BC213" s="72">
        <f t="shared" si="100"/>
        <v>6581292.8565545697</v>
      </c>
      <c r="BD213" s="72">
        <f t="shared" si="101"/>
        <v>13846224.866666365</v>
      </c>
      <c r="BE213" s="94">
        <f t="shared" si="102"/>
        <v>166676.24499290064</v>
      </c>
      <c r="BF213" s="94">
        <f t="shared" si="102"/>
        <v>29338.517184766009</v>
      </c>
      <c r="BG213" s="73">
        <f>IFERROR(INDEX('2023 IP UPL Data'!K:K,MATCH(A213,'2023 IP UPL Data'!B:B,0)),0)</f>
        <v>0</v>
      </c>
    </row>
    <row r="214" spans="1:59">
      <c r="A214" s="124" t="s">
        <v>527</v>
      </c>
      <c r="B214" s="149" t="s">
        <v>527</v>
      </c>
      <c r="C214" s="31" t="s">
        <v>528</v>
      </c>
      <c r="D214" s="181" t="s">
        <v>528</v>
      </c>
      <c r="E214" s="144" t="s">
        <v>3529</v>
      </c>
      <c r="F214" s="120" t="s">
        <v>2768</v>
      </c>
      <c r="G214" s="120" t="s">
        <v>1555</v>
      </c>
      <c r="H214" s="43" t="str">
        <f t="shared" si="82"/>
        <v>Rural Jefferson</v>
      </c>
      <c r="I214" s="45">
        <f>INDEX(FeeCalc!M:M,MATCH(C:C,FeeCalc!F:F,0))</f>
        <v>53195.504644590335</v>
      </c>
      <c r="J214" s="45">
        <f>INDEX(FeeCalc!L:L,MATCH(C:C,FeeCalc!F:F,0))</f>
        <v>537201.34107836103</v>
      </c>
      <c r="K214" s="45">
        <f t="shared" si="83"/>
        <v>590396.84572295134</v>
      </c>
      <c r="L214" s="45">
        <f>IFERROR(IFERROR(INDEX('2023 IP UPL Data'!N:N,MATCH(A:A,'2023 IP UPL Data'!B:B,0)),INDEX('2023 IMD UPL Data'!M:M,MATCH(A:A,'2023 IMD UPL Data'!B:B,0))),0)</f>
        <v>42959.761287757108</v>
      </c>
      <c r="M214" s="45">
        <f>IFERROR((IF(F214="IMD",0,INDEX('2023 OP UPL Data'!M:M,MATCH(A:A,'2023 OP UPL Data'!B:B,0)))),0)</f>
        <v>179711.83339393936</v>
      </c>
      <c r="N214" s="45">
        <f t="shared" si="84"/>
        <v>222671.59468169647</v>
      </c>
      <c r="O214" s="45">
        <v>-51270.815232479654</v>
      </c>
      <c r="P214" s="45">
        <v>196648.53363869479</v>
      </c>
      <c r="Q214" s="45">
        <f t="shared" si="85"/>
        <v>145377.71840621514</v>
      </c>
      <c r="R214" s="45" t="str">
        <f t="shared" si="86"/>
        <v>No</v>
      </c>
      <c r="S214" s="46" t="str">
        <f t="shared" si="86"/>
        <v>Yes</v>
      </c>
      <c r="T214" s="47">
        <f>ROUND(INDEX(Summary!H:H,MATCH(H:H,Summary!A:A,0)),2)</f>
        <v>0</v>
      </c>
      <c r="U214" s="47">
        <f>ROUND(INDEX(Summary!I:I,MATCH(H:H,Summary!A:A,0)),2)</f>
        <v>0.39</v>
      </c>
      <c r="V214" s="85">
        <f t="shared" si="87"/>
        <v>0</v>
      </c>
      <c r="W214" s="85">
        <f t="shared" si="87"/>
        <v>209508.52302056079</v>
      </c>
      <c r="X214" s="45">
        <f t="shared" si="88"/>
        <v>209508.52302056079</v>
      </c>
      <c r="Y214" s="45" t="s">
        <v>3224</v>
      </c>
      <c r="Z214" s="45" t="str">
        <f t="shared" si="89"/>
        <v>No</v>
      </c>
      <c r="AA214" s="45" t="str">
        <f t="shared" si="89"/>
        <v>No</v>
      </c>
      <c r="AB214" s="45" t="str">
        <f t="shared" si="90"/>
        <v>No</v>
      </c>
      <c r="AC214" s="86">
        <f t="shared" si="103"/>
        <v>0</v>
      </c>
      <c r="AD214" s="86">
        <f t="shared" si="104"/>
        <v>0</v>
      </c>
      <c r="AE214" s="45">
        <f t="shared" si="105"/>
        <v>0</v>
      </c>
      <c r="AF214" s="45">
        <f t="shared" si="105"/>
        <v>0</v>
      </c>
      <c r="AG214" s="45">
        <f t="shared" si="91"/>
        <v>0</v>
      </c>
      <c r="AH214" s="47">
        <f>IF(Y214="No",0,IFERROR(ROUNDDOWN(INDEX('90% of ACR'!K:K,MATCH(H:H,'90% of ACR'!A:A,0))*IF(I214&gt;0,IF(O214&gt;0,$R$4*MAX(O214-V214,0),0),0)/I214,2),0))</f>
        <v>0</v>
      </c>
      <c r="AI214" s="86">
        <f>IF(Y214="No",0,IFERROR(ROUNDDOWN(INDEX('90% of ACR'!R:R,MATCH(H:H,'90% of ACR'!A:A,0))*IF(J214&gt;0,IF(P214&gt;0,$R$4*MAX(P214-W214,0),0),0)/J214,2),0))</f>
        <v>0</v>
      </c>
      <c r="AJ214" s="45">
        <f t="shared" si="92"/>
        <v>0</v>
      </c>
      <c r="AK214" s="45">
        <f t="shared" si="92"/>
        <v>0</v>
      </c>
      <c r="AL214" s="47">
        <f t="shared" si="93"/>
        <v>0</v>
      </c>
      <c r="AM214" s="47">
        <f t="shared" si="93"/>
        <v>0.39</v>
      </c>
      <c r="AN214" s="87">
        <f>IFERROR(INDEX(FeeCalc!P:P,MATCH(C214,FeeCalc!F:F,0)),0)</f>
        <v>209508.52302056079</v>
      </c>
      <c r="AO214" s="87">
        <f>IFERROR(INDEX(FeeCalc!S:S,MATCH(C214,FeeCalc!F:F,0)),0)</f>
        <v>12888.86613173602</v>
      </c>
      <c r="AP214" s="87">
        <f t="shared" si="94"/>
        <v>222397.38915229682</v>
      </c>
      <c r="AQ214" s="72">
        <f t="shared" si="95"/>
        <v>94370.328933772427</v>
      </c>
      <c r="AR214" s="72">
        <f t="shared" si="96"/>
        <v>47185.164466886214</v>
      </c>
      <c r="AS214" s="72">
        <f t="shared" si="97"/>
        <v>47185.164466886214</v>
      </c>
      <c r="AT214" s="72">
        <f>IFERROR(IFERROR(INDEX('2023 IP UPL Data'!L:L,MATCH(A:A,'2023 IP UPL Data'!B:B,0)),INDEX('2023 IMD UPL Data'!I:I,MATCH(A:A,'2023 IMD UPL Data'!B:B,0))),0)</f>
        <v>71604.078712242888</v>
      </c>
      <c r="AU214" s="72">
        <f>IFERROR(IF(F212="IMD",0,INDEX('2023 OP UPL Data'!J:J,MATCH(A:A,'2023 OP UPL Data'!B:B,0))),0)</f>
        <v>238755.51660606061</v>
      </c>
      <c r="AV214" s="45">
        <f t="shared" si="98"/>
        <v>310359.5953183035</v>
      </c>
      <c r="AW214" s="72">
        <f>IFERROR(IFERROR(INDEX('2023 IP UPL Data'!M:M,MATCH(A:A,'2023 IP UPL Data'!B:B,0)),INDEX('2023 IMD UPL Data'!K:K,MATCH(A:A,'2023 IMD UPL Data'!B:B,0))),0)</f>
        <v>114563.84</v>
      </c>
      <c r="AX214" s="72">
        <f>IFERROR(IF(F212="IMD",0,INDEX('2023 OP UPL Data'!L:L,MATCH(A:A,'2023 OP UPL Data'!B:B,0))),0)</f>
        <v>418467.35</v>
      </c>
      <c r="AY214" s="45">
        <f t="shared" si="99"/>
        <v>533031.18999999994</v>
      </c>
      <c r="AZ214" s="72">
        <v>20333.263479763231</v>
      </c>
      <c r="BA214" s="72">
        <v>435404.0502447554</v>
      </c>
      <c r="BB214" s="72">
        <f t="shared" si="100"/>
        <v>20333.263479763231</v>
      </c>
      <c r="BC214" s="72">
        <f t="shared" si="100"/>
        <v>225895.52722419461</v>
      </c>
      <c r="BD214" s="72">
        <f t="shared" si="101"/>
        <v>246228.79070395784</v>
      </c>
      <c r="BE214" s="94">
        <f t="shared" si="102"/>
        <v>0</v>
      </c>
      <c r="BF214" s="94">
        <f t="shared" si="102"/>
        <v>16936.700244755426</v>
      </c>
      <c r="BG214" s="73">
        <f>IFERROR(INDEX('2023 IP UPL Data'!K:K,MATCH(A214,'2023 IP UPL Data'!B:B,0)),0)</f>
        <v>0</v>
      </c>
    </row>
    <row r="215" spans="1:59">
      <c r="A215" s="124" t="s">
        <v>868</v>
      </c>
      <c r="B215" s="149" t="s">
        <v>868</v>
      </c>
      <c r="C215" s="31" t="s">
        <v>869</v>
      </c>
      <c r="D215" s="181" t="s">
        <v>869</v>
      </c>
      <c r="E215" s="144" t="s">
        <v>2972</v>
      </c>
      <c r="F215" s="120" t="s">
        <v>2718</v>
      </c>
      <c r="G215" s="120" t="s">
        <v>487</v>
      </c>
      <c r="H215" s="43" t="str">
        <f t="shared" si="82"/>
        <v>Urban Bexar</v>
      </c>
      <c r="I215" s="45">
        <f>INDEX(FeeCalc!M:M,MATCH(C:C,FeeCalc!F:F,0))</f>
        <v>109980569.57855439</v>
      </c>
      <c r="J215" s="45">
        <f>INDEX(FeeCalc!L:L,MATCH(C:C,FeeCalc!F:F,0))</f>
        <v>22491073.495647162</v>
      </c>
      <c r="K215" s="45">
        <f t="shared" si="83"/>
        <v>132471643.07420155</v>
      </c>
      <c r="L215" s="45">
        <f>IFERROR(IFERROR(INDEX('2023 IP UPL Data'!N:N,MATCH(A:A,'2023 IP UPL Data'!B:B,0)),INDEX('2023 IMD UPL Data'!M:M,MATCH(A:A,'2023 IMD UPL Data'!B:B,0))),0)</f>
        <v>46977535.963619635</v>
      </c>
      <c r="M215" s="45">
        <f>IFERROR((IF(F215="IMD",0,INDEX('2023 OP UPL Data'!M:M,MATCH(A:A,'2023 OP UPL Data'!B:B,0)))),0)</f>
        <v>28547029.071656443</v>
      </c>
      <c r="N215" s="45">
        <f t="shared" si="84"/>
        <v>75524565.035276085</v>
      </c>
      <c r="O215" s="45">
        <v>171127851.64859855</v>
      </c>
      <c r="P215" s="45">
        <v>43246875.33826828</v>
      </c>
      <c r="Q215" s="45">
        <f t="shared" si="85"/>
        <v>214374726.98686683</v>
      </c>
      <c r="R215" s="45" t="str">
        <f t="shared" si="86"/>
        <v>Yes</v>
      </c>
      <c r="S215" s="46" t="str">
        <f t="shared" si="86"/>
        <v>Yes</v>
      </c>
      <c r="T215" s="47">
        <f>ROUND(INDEX(Summary!H:H,MATCH(H:H,Summary!A:A,0)),2)</f>
        <v>0.71</v>
      </c>
      <c r="U215" s="47">
        <f>ROUND(INDEX(Summary!I:I,MATCH(H:H,Summary!A:A,0)),2)</f>
        <v>0.67</v>
      </c>
      <c r="V215" s="85">
        <f t="shared" si="87"/>
        <v>78086204.400773615</v>
      </c>
      <c r="W215" s="85">
        <f t="shared" si="87"/>
        <v>15069019.2420836</v>
      </c>
      <c r="X215" s="45">
        <f t="shared" si="88"/>
        <v>93155223.642857209</v>
      </c>
      <c r="Y215" s="45" t="s">
        <v>3223</v>
      </c>
      <c r="Z215" s="45" t="str">
        <f t="shared" si="89"/>
        <v>Yes</v>
      </c>
      <c r="AA215" s="45" t="str">
        <f t="shared" si="89"/>
        <v>Yes</v>
      </c>
      <c r="AB215" s="45" t="str">
        <f t="shared" si="90"/>
        <v>Yes</v>
      </c>
      <c r="AC215" s="86">
        <f t="shared" si="103"/>
        <v>0.59</v>
      </c>
      <c r="AD215" s="86">
        <f t="shared" si="104"/>
        <v>0.87</v>
      </c>
      <c r="AE215" s="45">
        <f t="shared" si="105"/>
        <v>64888536.051347084</v>
      </c>
      <c r="AF215" s="45">
        <f t="shared" si="105"/>
        <v>19567233.94121303</v>
      </c>
      <c r="AG215" s="45">
        <f t="shared" si="91"/>
        <v>84455769.992560118</v>
      </c>
      <c r="AH215" s="47">
        <f>IF(Y215="No",0,IFERROR(ROUNDDOWN(INDEX('90% of ACR'!K:K,MATCH(H:H,'90% of ACR'!A:A,0))*IF(I215&gt;0,IF(O215&gt;0,$R$4*MAX(O215-V215,0),0),0)/I215,2),0))</f>
        <v>0.43</v>
      </c>
      <c r="AI215" s="86">
        <f>IF(Y215="No",0,IFERROR(ROUNDDOWN(INDEX('90% of ACR'!R:R,MATCH(H:H,'90% of ACR'!A:A,0))*IF(J215&gt;0,IF(P215&gt;0,$R$4*MAX(P215-W215,0),0),0)/J215,2),0))</f>
        <v>0.56000000000000005</v>
      </c>
      <c r="AJ215" s="45">
        <f t="shared" si="92"/>
        <v>47291644.91877839</v>
      </c>
      <c r="AK215" s="45">
        <f t="shared" si="92"/>
        <v>12595001.157562412</v>
      </c>
      <c r="AL215" s="47">
        <f t="shared" si="93"/>
        <v>1.1399999999999999</v>
      </c>
      <c r="AM215" s="47">
        <f t="shared" si="93"/>
        <v>1.23</v>
      </c>
      <c r="AN215" s="87">
        <f>IFERROR(INDEX(FeeCalc!P:P,MATCH(C215,FeeCalc!F:F,0)),0)</f>
        <v>153041869.71919799</v>
      </c>
      <c r="AO215" s="87">
        <f>IFERROR(INDEX(FeeCalc!S:S,MATCH(C215,FeeCalc!F:F,0)),0)</f>
        <v>9469174.9034665283</v>
      </c>
      <c r="AP215" s="87">
        <f t="shared" si="94"/>
        <v>162511044.62266451</v>
      </c>
      <c r="AQ215" s="72">
        <f t="shared" si="95"/>
        <v>68958636.586824492</v>
      </c>
      <c r="AR215" s="72">
        <f t="shared" si="96"/>
        <v>34479318.293412246</v>
      </c>
      <c r="AS215" s="72">
        <f t="shared" si="97"/>
        <v>34479318.293412246</v>
      </c>
      <c r="AT215" s="72">
        <f>IFERROR(IFERROR(INDEX('2023 IP UPL Data'!L:L,MATCH(A:A,'2023 IP UPL Data'!B:B,0)),INDEX('2023 IMD UPL Data'!I:I,MATCH(A:A,'2023 IMD UPL Data'!B:B,0))),0)</f>
        <v>83557494.926380366</v>
      </c>
      <c r="AU215" s="72">
        <f>IFERROR(IF(F213="IMD",0,INDEX('2023 OP UPL Data'!J:J,MATCH(A:A,'2023 OP UPL Data'!B:B,0))),0)</f>
        <v>11290260.288343558</v>
      </c>
      <c r="AV215" s="45">
        <f t="shared" si="98"/>
        <v>94847755.21472393</v>
      </c>
      <c r="AW215" s="72">
        <f>IFERROR(IFERROR(INDEX('2023 IP UPL Data'!M:M,MATCH(A:A,'2023 IP UPL Data'!B:B,0)),INDEX('2023 IMD UPL Data'!K:K,MATCH(A:A,'2023 IMD UPL Data'!B:B,0))),0)</f>
        <v>130535030.89</v>
      </c>
      <c r="AX215" s="72">
        <f>IFERROR(IF(F213="IMD",0,INDEX('2023 OP UPL Data'!L:L,MATCH(A:A,'2023 OP UPL Data'!B:B,0))),0)</f>
        <v>39837289.359999999</v>
      </c>
      <c r="AY215" s="45">
        <f t="shared" si="99"/>
        <v>170372320.25</v>
      </c>
      <c r="AZ215" s="72">
        <v>254685346.57497892</v>
      </c>
      <c r="BA215" s="72">
        <v>54537135.626611836</v>
      </c>
      <c r="BB215" s="72">
        <f t="shared" si="100"/>
        <v>176599142.1742053</v>
      </c>
      <c r="BC215" s="72">
        <f t="shared" si="100"/>
        <v>39468116.384528235</v>
      </c>
      <c r="BD215" s="72">
        <f t="shared" si="101"/>
        <v>216067258.55873358</v>
      </c>
      <c r="BE215" s="94">
        <f t="shared" si="102"/>
        <v>124150315.68497892</v>
      </c>
      <c r="BF215" s="94">
        <f t="shared" si="102"/>
        <v>14699846.266611837</v>
      </c>
      <c r="BG215" s="73">
        <f>IFERROR(INDEX('2023 IP UPL Data'!K:K,MATCH(A215,'2023 IP UPL Data'!B:B,0)),0)</f>
        <v>0</v>
      </c>
    </row>
    <row r="216" spans="1:59">
      <c r="A216" s="124" t="s">
        <v>862</v>
      </c>
      <c r="B216" s="149" t="s">
        <v>862</v>
      </c>
      <c r="C216" s="31" t="s">
        <v>863</v>
      </c>
      <c r="D216" s="181" t="s">
        <v>863</v>
      </c>
      <c r="E216" s="144" t="s">
        <v>3530</v>
      </c>
      <c r="F216" s="120" t="s">
        <v>2768</v>
      </c>
      <c r="G216" s="120" t="s">
        <v>487</v>
      </c>
      <c r="H216" s="43" t="str">
        <f t="shared" si="82"/>
        <v>Rural Bexar</v>
      </c>
      <c r="I216" s="45">
        <f>INDEX(FeeCalc!M:M,MATCH(C:C,FeeCalc!F:F,0))</f>
        <v>1009120.0119961174</v>
      </c>
      <c r="J216" s="45">
        <f>INDEX(FeeCalc!L:L,MATCH(C:C,FeeCalc!F:F,0))</f>
        <v>2086251.0920849619</v>
      </c>
      <c r="K216" s="45">
        <f t="shared" si="83"/>
        <v>3095371.1040810794</v>
      </c>
      <c r="L216" s="45">
        <f>IFERROR(IFERROR(INDEX('2023 IP UPL Data'!N:N,MATCH(A:A,'2023 IP UPL Data'!B:B,0)),INDEX('2023 IMD UPL Data'!M:M,MATCH(A:A,'2023 IMD UPL Data'!B:B,0))),0)</f>
        <v>51581.020487635164</v>
      </c>
      <c r="M216" s="45">
        <f>IFERROR((IF(F216="IMD",0,INDEX('2023 OP UPL Data'!M:M,MATCH(A:A,'2023 OP UPL Data'!B:B,0)))),0)</f>
        <v>973627.62885714299</v>
      </c>
      <c r="N216" s="45">
        <f t="shared" si="84"/>
        <v>1025208.6493447782</v>
      </c>
      <c r="O216" s="45">
        <v>650434.84908726485</v>
      </c>
      <c r="P216" s="45">
        <v>2107932.8499052073</v>
      </c>
      <c r="Q216" s="45">
        <f t="shared" si="85"/>
        <v>2758367.6989924721</v>
      </c>
      <c r="R216" s="45" t="str">
        <f t="shared" si="86"/>
        <v>Yes</v>
      </c>
      <c r="S216" s="46" t="str">
        <f t="shared" si="86"/>
        <v>Yes</v>
      </c>
      <c r="T216" s="47">
        <f>ROUND(INDEX(Summary!H:H,MATCH(H:H,Summary!A:A,0)),2)</f>
        <v>0.15</v>
      </c>
      <c r="U216" s="47">
        <f>ROUND(INDEX(Summary!I:I,MATCH(H:H,Summary!A:A,0)),2)</f>
        <v>0.2</v>
      </c>
      <c r="V216" s="85">
        <f t="shared" si="87"/>
        <v>151368.0017994176</v>
      </c>
      <c r="W216" s="85">
        <f t="shared" si="87"/>
        <v>417250.2184169924</v>
      </c>
      <c r="X216" s="45">
        <f t="shared" si="88"/>
        <v>568618.22021641</v>
      </c>
      <c r="Y216" s="45" t="s">
        <v>3223</v>
      </c>
      <c r="Z216" s="45" t="str">
        <f t="shared" si="89"/>
        <v>Yes</v>
      </c>
      <c r="AA216" s="45" t="str">
        <f t="shared" si="89"/>
        <v>Yes</v>
      </c>
      <c r="AB216" s="45" t="str">
        <f t="shared" si="90"/>
        <v>Yes</v>
      </c>
      <c r="AC216" s="86">
        <f t="shared" si="103"/>
        <v>0.34</v>
      </c>
      <c r="AD216" s="86">
        <f t="shared" si="104"/>
        <v>0.56000000000000005</v>
      </c>
      <c r="AE216" s="45">
        <f t="shared" si="105"/>
        <v>343100.80407867994</v>
      </c>
      <c r="AF216" s="45">
        <f t="shared" si="105"/>
        <v>1168300.6115675787</v>
      </c>
      <c r="AG216" s="45">
        <f t="shared" si="91"/>
        <v>1511401.4156462587</v>
      </c>
      <c r="AH216" s="47">
        <f>IF(Y216="No",0,IFERROR(ROUNDDOWN(INDEX('90% of ACR'!K:K,MATCH(H:H,'90% of ACR'!A:A,0))*IF(I216&gt;0,IF(O216&gt;0,$R$4*MAX(O216-V216,0),0),0)/I216,2),0))</f>
        <v>0.32</v>
      </c>
      <c r="AI216" s="86">
        <f>IF(Y216="No",0,IFERROR(ROUNDDOWN(INDEX('90% of ACR'!R:R,MATCH(H:H,'90% of ACR'!A:A,0))*IF(J216&gt;0,IF(P216&gt;0,$R$4*MAX(P216-W216,0),0),0)/J216,2),0))</f>
        <v>0.56000000000000005</v>
      </c>
      <c r="AJ216" s="45">
        <f t="shared" si="92"/>
        <v>322918.4038387576</v>
      </c>
      <c r="AK216" s="45">
        <f t="shared" si="92"/>
        <v>1168300.6115675787</v>
      </c>
      <c r="AL216" s="47">
        <f t="shared" si="93"/>
        <v>0.47</v>
      </c>
      <c r="AM216" s="47">
        <f t="shared" si="93"/>
        <v>0.76</v>
      </c>
      <c r="AN216" s="87">
        <f>IFERROR(INDEX(FeeCalc!P:P,MATCH(C216,FeeCalc!F:F,0)),0)</f>
        <v>2059837.2356227462</v>
      </c>
      <c r="AO216" s="87">
        <f>IFERROR(INDEX(FeeCalc!S:S,MATCH(C216,FeeCalc!F:F,0)),0)</f>
        <v>127738.68254216184</v>
      </c>
      <c r="AP216" s="87">
        <f t="shared" si="94"/>
        <v>2187575.918164908</v>
      </c>
      <c r="AQ216" s="72">
        <f t="shared" si="95"/>
        <v>928258.46450675186</v>
      </c>
      <c r="AR216" s="72">
        <f t="shared" si="96"/>
        <v>464129.23225337593</v>
      </c>
      <c r="AS216" s="72">
        <f t="shared" si="97"/>
        <v>464129.23225337593</v>
      </c>
      <c r="AT216" s="72">
        <f>IFERROR(IFERROR(INDEX('2023 IP UPL Data'!L:L,MATCH(A:A,'2023 IP UPL Data'!B:B,0)),INDEX('2023 IMD UPL Data'!I:I,MATCH(A:A,'2023 IMD UPL Data'!B:B,0))),0)</f>
        <v>1315437.0695123649</v>
      </c>
      <c r="AU216" s="72">
        <f>IFERROR(IF(F214="IMD",0,INDEX('2023 OP UPL Data'!J:J,MATCH(A:A,'2023 OP UPL Data'!B:B,0))),0)</f>
        <v>655585.40114285704</v>
      </c>
      <c r="AV216" s="45">
        <f t="shared" si="98"/>
        <v>1971022.470655222</v>
      </c>
      <c r="AW216" s="72">
        <f>IFERROR(IFERROR(INDEX('2023 IP UPL Data'!M:M,MATCH(A:A,'2023 IP UPL Data'!B:B,0)),INDEX('2023 IMD UPL Data'!K:K,MATCH(A:A,'2023 IMD UPL Data'!B:B,0))),0)</f>
        <v>1367018.09</v>
      </c>
      <c r="AX216" s="72">
        <f>IFERROR(IF(F214="IMD",0,INDEX('2023 OP UPL Data'!L:L,MATCH(A:A,'2023 OP UPL Data'!B:B,0))),0)</f>
        <v>1629213.03</v>
      </c>
      <c r="AY216" s="45">
        <f t="shared" si="99"/>
        <v>2996231.12</v>
      </c>
      <c r="AZ216" s="72">
        <v>1965871.9185996298</v>
      </c>
      <c r="BA216" s="72">
        <v>2763518.2510480643</v>
      </c>
      <c r="BB216" s="72">
        <f t="shared" si="100"/>
        <v>1814503.9168002121</v>
      </c>
      <c r="BC216" s="72">
        <f t="shared" si="100"/>
        <v>2346268.0326310718</v>
      </c>
      <c r="BD216" s="72">
        <f t="shared" si="101"/>
        <v>4160771.9494312834</v>
      </c>
      <c r="BE216" s="94">
        <f t="shared" si="102"/>
        <v>598853.82859962969</v>
      </c>
      <c r="BF216" s="94">
        <f t="shared" si="102"/>
        <v>1134305.2210480643</v>
      </c>
      <c r="BG216" s="73">
        <f>IFERROR(INDEX('2023 IP UPL Data'!K:K,MATCH(A216,'2023 IP UPL Data'!B:B,0)),0)</f>
        <v>0</v>
      </c>
    </row>
    <row r="217" spans="1:59">
      <c r="A217" s="124" t="s">
        <v>865</v>
      </c>
      <c r="B217" s="149" t="s">
        <v>865</v>
      </c>
      <c r="C217" s="31" t="s">
        <v>866</v>
      </c>
      <c r="D217" s="181" t="s">
        <v>866</v>
      </c>
      <c r="E217" s="144" t="s">
        <v>3531</v>
      </c>
      <c r="F217" s="120" t="s">
        <v>2718</v>
      </c>
      <c r="G217" s="120" t="s">
        <v>487</v>
      </c>
      <c r="H217" s="43" t="str">
        <f t="shared" si="82"/>
        <v>Urban Bexar</v>
      </c>
      <c r="I217" s="45">
        <f>INDEX(FeeCalc!M:M,MATCH(C:C,FeeCalc!F:F,0))</f>
        <v>11050650.351969417</v>
      </c>
      <c r="J217" s="45">
        <f>INDEX(FeeCalc!L:L,MATCH(C:C,FeeCalc!F:F,0))</f>
        <v>1690935.1023508245</v>
      </c>
      <c r="K217" s="45">
        <f t="shared" si="83"/>
        <v>12741585.454320241</v>
      </c>
      <c r="L217" s="45">
        <f>IFERROR(IFERROR(INDEX('2023 IP UPL Data'!N:N,MATCH(A:A,'2023 IP UPL Data'!B:B,0)),INDEX('2023 IMD UPL Data'!M:M,MATCH(A:A,'2023 IMD UPL Data'!B:B,0))),0)</f>
        <v>3877139.2156441696</v>
      </c>
      <c r="M217" s="45">
        <f>IFERROR((IF(F217="IMD",0,INDEX('2023 OP UPL Data'!M:M,MATCH(A:A,'2023 OP UPL Data'!B:B,0)))),0)</f>
        <v>2283059.0799386501</v>
      </c>
      <c r="N217" s="45">
        <f t="shared" si="84"/>
        <v>6160198.2955828197</v>
      </c>
      <c r="O217" s="45">
        <v>19071197.11521592</v>
      </c>
      <c r="P217" s="45">
        <v>3287590.7447724133</v>
      </c>
      <c r="Q217" s="45">
        <f t="shared" si="85"/>
        <v>22358787.859988332</v>
      </c>
      <c r="R217" s="45" t="str">
        <f t="shared" si="86"/>
        <v>Yes</v>
      </c>
      <c r="S217" s="46" t="str">
        <f t="shared" si="86"/>
        <v>Yes</v>
      </c>
      <c r="T217" s="47">
        <f>ROUND(INDEX(Summary!H:H,MATCH(H:H,Summary!A:A,0)),2)</f>
        <v>0.71</v>
      </c>
      <c r="U217" s="47">
        <f>ROUND(INDEX(Summary!I:I,MATCH(H:H,Summary!A:A,0)),2)</f>
        <v>0.67</v>
      </c>
      <c r="V217" s="85">
        <f t="shared" si="87"/>
        <v>7845961.7498982856</v>
      </c>
      <c r="W217" s="85">
        <f t="shared" si="87"/>
        <v>1132926.5185750525</v>
      </c>
      <c r="X217" s="45">
        <f t="shared" si="88"/>
        <v>8978888.2684733383</v>
      </c>
      <c r="Y217" s="45" t="s">
        <v>3223</v>
      </c>
      <c r="Z217" s="45" t="str">
        <f t="shared" si="89"/>
        <v>Yes</v>
      </c>
      <c r="AA217" s="45" t="str">
        <f t="shared" si="89"/>
        <v>Yes</v>
      </c>
      <c r="AB217" s="45" t="str">
        <f t="shared" si="90"/>
        <v>Yes</v>
      </c>
      <c r="AC217" s="86">
        <f t="shared" si="103"/>
        <v>0.71</v>
      </c>
      <c r="AD217" s="86">
        <f t="shared" si="104"/>
        <v>0.89</v>
      </c>
      <c r="AE217" s="45">
        <f t="shared" si="105"/>
        <v>7845961.7498982856</v>
      </c>
      <c r="AF217" s="45">
        <f t="shared" si="105"/>
        <v>1504932.2410922339</v>
      </c>
      <c r="AG217" s="45">
        <f t="shared" si="91"/>
        <v>9350893.9909905195</v>
      </c>
      <c r="AH217" s="47">
        <f>IF(Y217="No",0,IFERROR(ROUNDDOWN(INDEX('90% of ACR'!K:K,MATCH(H:H,'90% of ACR'!A:A,0))*IF(I217&gt;0,IF(O217&gt;0,$R$4*MAX(O217-V217,0),0),0)/I217,2),0))</f>
        <v>0.52</v>
      </c>
      <c r="AI217" s="86">
        <f>IF(Y217="No",0,IFERROR(ROUNDDOWN(INDEX('90% of ACR'!R:R,MATCH(H:H,'90% of ACR'!A:A,0))*IF(J217&gt;0,IF(P217&gt;0,$R$4*MAX(P217-W217,0),0),0)/J217,2),0))</f>
        <v>0.56999999999999995</v>
      </c>
      <c r="AJ217" s="45">
        <f t="shared" si="92"/>
        <v>5746338.1830240972</v>
      </c>
      <c r="AK217" s="45">
        <f t="shared" si="92"/>
        <v>963833.00833996991</v>
      </c>
      <c r="AL217" s="47">
        <f t="shared" si="93"/>
        <v>1.23</v>
      </c>
      <c r="AM217" s="47">
        <f t="shared" si="93"/>
        <v>1.24</v>
      </c>
      <c r="AN217" s="87">
        <f>IFERROR(INDEX(FeeCalc!P:P,MATCH(C217,FeeCalc!F:F,0)),0)</f>
        <v>15689059.459837407</v>
      </c>
      <c r="AO217" s="87">
        <f>IFERROR(INDEX(FeeCalc!S:S,MATCH(C217,FeeCalc!F:F,0)),0)</f>
        <v>967120.06558928592</v>
      </c>
      <c r="AP217" s="87">
        <f t="shared" si="94"/>
        <v>16656179.525426693</v>
      </c>
      <c r="AQ217" s="72">
        <f t="shared" si="95"/>
        <v>7067749.9703833601</v>
      </c>
      <c r="AR217" s="72">
        <f t="shared" si="96"/>
        <v>3533874.98519168</v>
      </c>
      <c r="AS217" s="72">
        <f t="shared" si="97"/>
        <v>3533874.98519168</v>
      </c>
      <c r="AT217" s="72">
        <f>IFERROR(IFERROR(INDEX('2023 IP UPL Data'!L:L,MATCH(A:A,'2023 IP UPL Data'!B:B,0)),INDEX('2023 IMD UPL Data'!I:I,MATCH(A:A,'2023 IMD UPL Data'!B:B,0))),0)</f>
        <v>8679634.8343558311</v>
      </c>
      <c r="AU217" s="72">
        <f>IFERROR(IF(F215="IMD",0,INDEX('2023 OP UPL Data'!J:J,MATCH(A:A,'2023 OP UPL Data'!B:B,0))),0)</f>
        <v>893374.73006134981</v>
      </c>
      <c r="AV217" s="45">
        <f t="shared" si="98"/>
        <v>9573009.5644171815</v>
      </c>
      <c r="AW217" s="72">
        <f>IFERROR(IFERROR(INDEX('2023 IP UPL Data'!M:M,MATCH(A:A,'2023 IP UPL Data'!B:B,0)),INDEX('2023 IMD UPL Data'!K:K,MATCH(A:A,'2023 IMD UPL Data'!B:B,0))),0)</f>
        <v>12556774.050000001</v>
      </c>
      <c r="AX217" s="72">
        <f>IFERROR(IF(F215="IMD",0,INDEX('2023 OP UPL Data'!L:L,MATCH(A:A,'2023 OP UPL Data'!B:B,0))),0)</f>
        <v>3176433.81</v>
      </c>
      <c r="AY217" s="45">
        <f t="shared" si="99"/>
        <v>15733207.860000001</v>
      </c>
      <c r="AZ217" s="72">
        <v>27750831.949571751</v>
      </c>
      <c r="BA217" s="72">
        <v>4180965.4748337632</v>
      </c>
      <c r="BB217" s="72">
        <f t="shared" si="100"/>
        <v>19904870.199673466</v>
      </c>
      <c r="BC217" s="72">
        <f t="shared" si="100"/>
        <v>3048038.9562587105</v>
      </c>
      <c r="BD217" s="72">
        <f t="shared" si="101"/>
        <v>22952909.155932177</v>
      </c>
      <c r="BE217" s="94">
        <f t="shared" si="102"/>
        <v>15194057.89957175</v>
      </c>
      <c r="BF217" s="94">
        <f t="shared" si="102"/>
        <v>1004531.6648337631</v>
      </c>
      <c r="BG217" s="73">
        <f>IFERROR(INDEX('2023 IP UPL Data'!K:K,MATCH(A217,'2023 IP UPL Data'!B:B,0)),0)</f>
        <v>0</v>
      </c>
    </row>
    <row r="218" spans="1:59">
      <c r="A218" s="124" t="s">
        <v>623</v>
      </c>
      <c r="B218" s="149" t="s">
        <v>623</v>
      </c>
      <c r="C218" s="31" t="s">
        <v>624</v>
      </c>
      <c r="D218" s="181" t="s">
        <v>624</v>
      </c>
      <c r="E218" s="144" t="s">
        <v>2962</v>
      </c>
      <c r="F218" s="120" t="s">
        <v>2718</v>
      </c>
      <c r="G218" s="120" t="s">
        <v>1366</v>
      </c>
      <c r="H218" s="43" t="str">
        <f t="shared" si="82"/>
        <v>Urban Tarrant</v>
      </c>
      <c r="I218" s="45">
        <f>INDEX(FeeCalc!M:M,MATCH(C:C,FeeCalc!F:F,0))</f>
        <v>16595011.104447968</v>
      </c>
      <c r="J218" s="45">
        <f>INDEX(FeeCalc!L:L,MATCH(C:C,FeeCalc!F:F,0))</f>
        <v>3005097.993239189</v>
      </c>
      <c r="K218" s="45">
        <f t="shared" si="83"/>
        <v>19600109.097687159</v>
      </c>
      <c r="L218" s="45">
        <f>IFERROR(IFERROR(INDEX('2023 IP UPL Data'!N:N,MATCH(A:A,'2023 IP UPL Data'!B:B,0)),INDEX('2023 IMD UPL Data'!M:M,MATCH(A:A,'2023 IMD UPL Data'!B:B,0))),0)</f>
        <v>13727345.6525</v>
      </c>
      <c r="M218" s="45">
        <f>IFERROR((IF(F218="IMD",0,INDEX('2023 OP UPL Data'!M:M,MATCH(A:A,'2023 OP UPL Data'!B:B,0)))),0)</f>
        <v>6198587.3887499999</v>
      </c>
      <c r="N218" s="45">
        <f t="shared" si="84"/>
        <v>19925933.041249998</v>
      </c>
      <c r="O218" s="45">
        <v>46129861.798042759</v>
      </c>
      <c r="P218" s="45">
        <v>13366696.585480765</v>
      </c>
      <c r="Q218" s="45">
        <f t="shared" si="85"/>
        <v>59496558.383523524</v>
      </c>
      <c r="R218" s="45" t="str">
        <f t="shared" si="86"/>
        <v>Yes</v>
      </c>
      <c r="S218" s="46" t="str">
        <f t="shared" si="86"/>
        <v>Yes</v>
      </c>
      <c r="T218" s="47">
        <f>ROUND(INDEX(Summary!H:H,MATCH(H:H,Summary!A:A,0)),2)</f>
        <v>1.68</v>
      </c>
      <c r="U218" s="47">
        <f>ROUND(INDEX(Summary!I:I,MATCH(H:H,Summary!A:A,0)),2)</f>
        <v>1.42</v>
      </c>
      <c r="V218" s="85">
        <f t="shared" si="87"/>
        <v>27879618.655472584</v>
      </c>
      <c r="W218" s="85">
        <f t="shared" si="87"/>
        <v>4267239.1503996486</v>
      </c>
      <c r="X218" s="45">
        <f t="shared" si="88"/>
        <v>32146857.805872232</v>
      </c>
      <c r="Y218" s="45" t="s">
        <v>3223</v>
      </c>
      <c r="Z218" s="45" t="str">
        <f t="shared" si="89"/>
        <v>Yes</v>
      </c>
      <c r="AA218" s="45" t="str">
        <f t="shared" si="89"/>
        <v>Yes</v>
      </c>
      <c r="AB218" s="45" t="str">
        <f t="shared" si="90"/>
        <v>Yes</v>
      </c>
      <c r="AC218" s="86">
        <f t="shared" si="103"/>
        <v>0.77</v>
      </c>
      <c r="AD218" s="86">
        <f t="shared" si="104"/>
        <v>2.11</v>
      </c>
      <c r="AE218" s="45">
        <f t="shared" si="105"/>
        <v>12778158.550424935</v>
      </c>
      <c r="AF218" s="45">
        <f t="shared" si="105"/>
        <v>6340756.7657346884</v>
      </c>
      <c r="AG218" s="45">
        <f t="shared" si="91"/>
        <v>19118915.316159625</v>
      </c>
      <c r="AH218" s="47">
        <f>IF(Y218="No",0,IFERROR(ROUNDDOWN(INDEX('90% of ACR'!K:K,MATCH(H:H,'90% of ACR'!A:A,0))*IF(I218&gt;0,IF(O218&gt;0,$R$4*MAX(O218-V218,0),0),0)/I218,2),0))</f>
        <v>0.76</v>
      </c>
      <c r="AI218" s="86">
        <f>IF(Y218="No",0,IFERROR(ROUNDDOWN(INDEX('90% of ACR'!R:R,MATCH(H:H,'90% of ACR'!A:A,0))*IF(J218&gt;0,IF(P218&gt;0,$R$4*MAX(P218-W218,0),0),0)/J218,2),0))</f>
        <v>1.72</v>
      </c>
      <c r="AJ218" s="45">
        <f t="shared" si="92"/>
        <v>12612208.439380456</v>
      </c>
      <c r="AK218" s="45">
        <f t="shared" si="92"/>
        <v>5168768.5483714053</v>
      </c>
      <c r="AL218" s="47">
        <f t="shared" si="93"/>
        <v>2.44</v>
      </c>
      <c r="AM218" s="47">
        <f t="shared" si="93"/>
        <v>3.1399999999999997</v>
      </c>
      <c r="AN218" s="87">
        <f>IFERROR(INDEX(FeeCalc!P:P,MATCH(C218,FeeCalc!F:F,0)),0)</f>
        <v>49927834.793624096</v>
      </c>
      <c r="AO218" s="87">
        <f>IFERROR(INDEX(FeeCalc!S:S,MATCH(C218,FeeCalc!F:F,0)),0)</f>
        <v>3072701.2415079372</v>
      </c>
      <c r="AP218" s="87">
        <f t="shared" si="94"/>
        <v>53000536.035132036</v>
      </c>
      <c r="AQ218" s="72">
        <f t="shared" si="95"/>
        <v>22489823.456859648</v>
      </c>
      <c r="AR218" s="72">
        <f t="shared" si="96"/>
        <v>11244911.728429824</v>
      </c>
      <c r="AS218" s="72">
        <f t="shared" si="97"/>
        <v>11244911.728429824</v>
      </c>
      <c r="AT218" s="72">
        <f>IFERROR(IFERROR(INDEX('2023 IP UPL Data'!L:L,MATCH(A:A,'2023 IP UPL Data'!B:B,0)),INDEX('2023 IMD UPL Data'!I:I,MATCH(A:A,'2023 IMD UPL Data'!B:B,0))),0)</f>
        <v>19416825.087499999</v>
      </c>
      <c r="AU218" s="72">
        <f>IFERROR(IF(F216="IMD",0,INDEX('2023 OP UPL Data'!J:J,MATCH(A:A,'2023 OP UPL Data'!B:B,0))),0)</f>
        <v>2093132.5812499998</v>
      </c>
      <c r="AV218" s="45">
        <f t="shared" si="98"/>
        <v>21509957.668749999</v>
      </c>
      <c r="AW218" s="72">
        <f>IFERROR(IFERROR(INDEX('2023 IP UPL Data'!M:M,MATCH(A:A,'2023 IP UPL Data'!B:B,0)),INDEX('2023 IMD UPL Data'!K:K,MATCH(A:A,'2023 IMD UPL Data'!B:B,0))),0)</f>
        <v>33144170.739999998</v>
      </c>
      <c r="AX218" s="72">
        <f>IFERROR(IF(F216="IMD",0,INDEX('2023 OP UPL Data'!L:L,MATCH(A:A,'2023 OP UPL Data'!B:B,0))),0)</f>
        <v>8291719.9699999997</v>
      </c>
      <c r="AY218" s="45">
        <f t="shared" si="99"/>
        <v>41435890.710000001</v>
      </c>
      <c r="AZ218" s="72">
        <v>65546686.885542758</v>
      </c>
      <c r="BA218" s="72">
        <v>15459829.166730763</v>
      </c>
      <c r="BB218" s="72">
        <f t="shared" si="100"/>
        <v>37667068.230070174</v>
      </c>
      <c r="BC218" s="72">
        <f t="shared" si="100"/>
        <v>11192590.016331114</v>
      </c>
      <c r="BD218" s="72">
        <f t="shared" si="101"/>
        <v>48859658.246401295</v>
      </c>
      <c r="BE218" s="94">
        <f t="shared" si="102"/>
        <v>32402516.145542759</v>
      </c>
      <c r="BF218" s="94">
        <f t="shared" si="102"/>
        <v>7168109.1967307637</v>
      </c>
      <c r="BG218" s="73">
        <f>IFERROR(INDEX('2023 IP UPL Data'!K:K,MATCH(A218,'2023 IP UPL Data'!B:B,0)),0)</f>
        <v>0</v>
      </c>
    </row>
    <row r="219" spans="1:59">
      <c r="A219" s="124" t="s">
        <v>1554</v>
      </c>
      <c r="B219" s="149" t="s">
        <v>1554</v>
      </c>
      <c r="C219" s="31" t="s">
        <v>109</v>
      </c>
      <c r="D219" s="181" t="s">
        <v>109</v>
      </c>
      <c r="E219" s="144" t="s">
        <v>2960</v>
      </c>
      <c r="F219" s="120" t="s">
        <v>2718</v>
      </c>
      <c r="G219" s="120" t="s">
        <v>223</v>
      </c>
      <c r="H219" s="43" t="str">
        <f t="shared" si="82"/>
        <v>Urban Dallas</v>
      </c>
      <c r="I219" s="45">
        <f>INDEX(FeeCalc!M:M,MATCH(C:C,FeeCalc!F:F,0))</f>
        <v>44827482.855094388</v>
      </c>
      <c r="J219" s="45">
        <f>INDEX(FeeCalc!L:L,MATCH(C:C,FeeCalc!F:F,0))</f>
        <v>7324819.1194537021</v>
      </c>
      <c r="K219" s="45">
        <f t="shared" si="83"/>
        <v>52152301.974548087</v>
      </c>
      <c r="L219" s="45">
        <f>IFERROR(IFERROR(INDEX('2023 IP UPL Data'!N:N,MATCH(A:A,'2023 IP UPL Data'!B:B,0)),INDEX('2023 IMD UPL Data'!M:M,MATCH(A:A,'2023 IMD UPL Data'!B:B,0))),0)</f>
        <v>21333027.208313257</v>
      </c>
      <c r="M219" s="45">
        <f>IFERROR((IF(F219="IMD",0,INDEX('2023 OP UPL Data'!M:M,MATCH(A:A,'2023 OP UPL Data'!B:B,0)))),0)</f>
        <v>9350959.3951807227</v>
      </c>
      <c r="N219" s="45">
        <f t="shared" si="84"/>
        <v>30683986.603493981</v>
      </c>
      <c r="O219" s="45">
        <v>127473717.51374337</v>
      </c>
      <c r="P219" s="45">
        <v>13570622.723553915</v>
      </c>
      <c r="Q219" s="45">
        <f t="shared" si="85"/>
        <v>141044340.2372973</v>
      </c>
      <c r="R219" s="45" t="str">
        <f t="shared" si="86"/>
        <v>Yes</v>
      </c>
      <c r="S219" s="46" t="str">
        <f t="shared" si="86"/>
        <v>Yes</v>
      </c>
      <c r="T219" s="47">
        <f>ROUND(INDEX(Summary!H:H,MATCH(H:H,Summary!A:A,0)),2)</f>
        <v>1.2</v>
      </c>
      <c r="U219" s="47">
        <f>ROUND(INDEX(Summary!I:I,MATCH(H:H,Summary!A:A,0)),2)</f>
        <v>1.08</v>
      </c>
      <c r="V219" s="85">
        <f t="shared" si="87"/>
        <v>53792979.426113263</v>
      </c>
      <c r="W219" s="85">
        <f t="shared" si="87"/>
        <v>7910804.6490099989</v>
      </c>
      <c r="X219" s="45">
        <f t="shared" si="88"/>
        <v>61703784.075123265</v>
      </c>
      <c r="Y219" s="45" t="s">
        <v>3223</v>
      </c>
      <c r="Z219" s="45" t="str">
        <f t="shared" si="89"/>
        <v>Yes</v>
      </c>
      <c r="AA219" s="45" t="str">
        <f t="shared" si="89"/>
        <v>Yes</v>
      </c>
      <c r="AB219" s="45" t="str">
        <f t="shared" si="90"/>
        <v>Yes</v>
      </c>
      <c r="AC219" s="86">
        <f t="shared" si="103"/>
        <v>1.1499999999999999</v>
      </c>
      <c r="AD219" s="86">
        <f t="shared" si="104"/>
        <v>0.54</v>
      </c>
      <c r="AE219" s="45">
        <f t="shared" si="105"/>
        <v>51551605.283358544</v>
      </c>
      <c r="AF219" s="45">
        <f t="shared" si="105"/>
        <v>3955402.3245049994</v>
      </c>
      <c r="AG219" s="45">
        <f t="shared" si="91"/>
        <v>55507007.607863545</v>
      </c>
      <c r="AH219" s="47">
        <f>IF(Y219="No",0,IFERROR(ROUNDDOWN(INDEX('90% of ACR'!K:K,MATCH(H:H,'90% of ACR'!A:A,0))*IF(I219&gt;0,IF(O219&gt;0,$R$4*MAX(O219-V219,0),0),0)/I219,2),0))</f>
        <v>1.1000000000000001</v>
      </c>
      <c r="AI219" s="86">
        <f>IF(Y219="No",0,IFERROR(ROUNDDOWN(INDEX('90% of ACR'!R:R,MATCH(H:H,'90% of ACR'!A:A,0))*IF(J219&gt;0,IF(P219&gt;0,$R$4*MAX(P219-W219,0),0),0)/J219,2),0))</f>
        <v>0.53</v>
      </c>
      <c r="AJ219" s="45">
        <f t="shared" si="92"/>
        <v>49310231.140603833</v>
      </c>
      <c r="AK219" s="45">
        <f t="shared" si="92"/>
        <v>3882154.1333104623</v>
      </c>
      <c r="AL219" s="47">
        <f t="shared" si="93"/>
        <v>2.2999999999999998</v>
      </c>
      <c r="AM219" s="47">
        <f t="shared" si="93"/>
        <v>1.61</v>
      </c>
      <c r="AN219" s="87">
        <f>IFERROR(INDEX(FeeCalc!P:P,MATCH(C219,FeeCalc!F:F,0)),0)</f>
        <v>114896169.34903754</v>
      </c>
      <c r="AO219" s="87">
        <f>IFERROR(INDEX(FeeCalc!S:S,MATCH(C219,FeeCalc!F:F,0)),0)</f>
        <v>7077627.285814045</v>
      </c>
      <c r="AP219" s="87">
        <f t="shared" si="94"/>
        <v>121973796.63485159</v>
      </c>
      <c r="AQ219" s="72">
        <f t="shared" si="95"/>
        <v>51757385.073659852</v>
      </c>
      <c r="AR219" s="72">
        <f t="shared" si="96"/>
        <v>25878692.536829926</v>
      </c>
      <c r="AS219" s="72">
        <f t="shared" si="97"/>
        <v>25878692.536829926</v>
      </c>
      <c r="AT219" s="72">
        <f>IFERROR(IFERROR(INDEX('2023 IP UPL Data'!L:L,MATCH(A:A,'2023 IP UPL Data'!B:B,0)),INDEX('2023 IMD UPL Data'!I:I,MATCH(A:A,'2023 IMD UPL Data'!B:B,0))),0)</f>
        <v>46639913.921686739</v>
      </c>
      <c r="AU219" s="72">
        <f>IFERROR(IF(F217="IMD",0,INDEX('2023 OP UPL Data'!J:J,MATCH(A:A,'2023 OP UPL Data'!B:B,0))),0)</f>
        <v>4141333.7048192765</v>
      </c>
      <c r="AV219" s="45">
        <f t="shared" si="98"/>
        <v>50781247.626506016</v>
      </c>
      <c r="AW219" s="72">
        <f>IFERROR(IFERROR(INDEX('2023 IP UPL Data'!M:M,MATCH(A:A,'2023 IP UPL Data'!B:B,0)),INDEX('2023 IMD UPL Data'!K:K,MATCH(A:A,'2023 IMD UPL Data'!B:B,0))),0)</f>
        <v>67972941.129999995</v>
      </c>
      <c r="AX219" s="72">
        <f>IFERROR(IF(F217="IMD",0,INDEX('2023 OP UPL Data'!L:L,MATCH(A:A,'2023 OP UPL Data'!B:B,0))),0)</f>
        <v>13492293.1</v>
      </c>
      <c r="AY219" s="45">
        <f t="shared" si="99"/>
        <v>81465234.229999989</v>
      </c>
      <c r="AZ219" s="72">
        <v>174113631.43543011</v>
      </c>
      <c r="BA219" s="72">
        <v>17711956.428373192</v>
      </c>
      <c r="BB219" s="72">
        <f t="shared" si="100"/>
        <v>120320652.00931685</v>
      </c>
      <c r="BC219" s="72">
        <f t="shared" si="100"/>
        <v>9801151.7793631926</v>
      </c>
      <c r="BD219" s="72">
        <f t="shared" si="101"/>
        <v>130121803.78868003</v>
      </c>
      <c r="BE219" s="94">
        <f t="shared" si="102"/>
        <v>106140690.30543011</v>
      </c>
      <c r="BF219" s="94">
        <f t="shared" si="102"/>
        <v>4219663.3283731919</v>
      </c>
      <c r="BG219" s="73">
        <f>IFERROR(INDEX('2023 IP UPL Data'!K:K,MATCH(A219,'2023 IP UPL Data'!B:B,0)),0)</f>
        <v>0</v>
      </c>
    </row>
    <row r="220" spans="1:59">
      <c r="A220" s="124" t="s">
        <v>626</v>
      </c>
      <c r="B220" s="149" t="s">
        <v>626</v>
      </c>
      <c r="C220" s="31" t="s">
        <v>627</v>
      </c>
      <c r="D220" s="181" t="s">
        <v>627</v>
      </c>
      <c r="E220" s="144" t="s">
        <v>2966</v>
      </c>
      <c r="F220" s="120" t="s">
        <v>2718</v>
      </c>
      <c r="G220" s="120" t="s">
        <v>1366</v>
      </c>
      <c r="H220" s="43" t="str">
        <f t="shared" si="82"/>
        <v>Urban Tarrant</v>
      </c>
      <c r="I220" s="45">
        <f>INDEX(FeeCalc!M:M,MATCH(C:C,FeeCalc!F:F,0))</f>
        <v>2019419.8493352614</v>
      </c>
      <c r="J220" s="45">
        <f>INDEX(FeeCalc!L:L,MATCH(C:C,FeeCalc!F:F,0))</f>
        <v>1161838.301222635</v>
      </c>
      <c r="K220" s="45">
        <f t="shared" si="83"/>
        <v>3181258.1505578961</v>
      </c>
      <c r="L220" s="45">
        <f>IFERROR(IFERROR(INDEX('2023 IP UPL Data'!N:N,MATCH(A:A,'2023 IP UPL Data'!B:B,0)),INDEX('2023 IMD UPL Data'!M:M,MATCH(A:A,'2023 IMD UPL Data'!B:B,0))),0)</f>
        <v>2742688.8774999999</v>
      </c>
      <c r="M220" s="45">
        <f>IFERROR((IF(F220="IMD",0,INDEX('2023 OP UPL Data'!M:M,MATCH(A:A,'2023 OP UPL Data'!B:B,0)))),0)</f>
        <v>2697648.6149999998</v>
      </c>
      <c r="N220" s="45">
        <f t="shared" si="84"/>
        <v>5440337.4924999997</v>
      </c>
      <c r="O220" s="45">
        <v>9992249.2393006664</v>
      </c>
      <c r="P220" s="45">
        <v>5054142.6671052594</v>
      </c>
      <c r="Q220" s="45">
        <f t="shared" si="85"/>
        <v>15046391.906405926</v>
      </c>
      <c r="R220" s="45" t="str">
        <f t="shared" si="86"/>
        <v>Yes</v>
      </c>
      <c r="S220" s="46" t="str">
        <f t="shared" si="86"/>
        <v>Yes</v>
      </c>
      <c r="T220" s="47">
        <f>ROUND(INDEX(Summary!H:H,MATCH(H:H,Summary!A:A,0)),2)</f>
        <v>1.68</v>
      </c>
      <c r="U220" s="47">
        <f>ROUND(INDEX(Summary!I:I,MATCH(H:H,Summary!A:A,0)),2)</f>
        <v>1.42</v>
      </c>
      <c r="V220" s="85">
        <f t="shared" si="87"/>
        <v>3392625.3468832392</v>
      </c>
      <c r="W220" s="85">
        <f t="shared" si="87"/>
        <v>1649810.3877361417</v>
      </c>
      <c r="X220" s="45">
        <f t="shared" si="88"/>
        <v>5042435.7346193809</v>
      </c>
      <c r="Y220" s="45" t="s">
        <v>3223</v>
      </c>
      <c r="Z220" s="45" t="str">
        <f t="shared" si="89"/>
        <v>Yes</v>
      </c>
      <c r="AA220" s="45" t="str">
        <f t="shared" si="89"/>
        <v>Yes</v>
      </c>
      <c r="AB220" s="45" t="str">
        <f t="shared" si="90"/>
        <v>Yes</v>
      </c>
      <c r="AC220" s="86">
        <f t="shared" si="103"/>
        <v>2.2799999999999998</v>
      </c>
      <c r="AD220" s="86">
        <f t="shared" si="104"/>
        <v>2.04</v>
      </c>
      <c r="AE220" s="45">
        <f t="shared" si="105"/>
        <v>4604277.2564843958</v>
      </c>
      <c r="AF220" s="45">
        <f t="shared" si="105"/>
        <v>2370150.1344941752</v>
      </c>
      <c r="AG220" s="45">
        <f t="shared" si="91"/>
        <v>6974427.390978571</v>
      </c>
      <c r="AH220" s="47">
        <f>IF(Y220="No",0,IFERROR(ROUNDDOWN(INDEX('90% of ACR'!K:K,MATCH(H:H,'90% of ACR'!A:A,0))*IF(I220&gt;0,IF(O220&gt;0,$R$4*MAX(O220-V220,0),0),0)/I220,2),0))</f>
        <v>2.27</v>
      </c>
      <c r="AI220" s="86">
        <f>IF(Y220="No",0,IFERROR(ROUNDDOWN(INDEX('90% of ACR'!R:R,MATCH(H:H,'90% of ACR'!A:A,0))*IF(J220&gt;0,IF(P220&gt;0,$R$4*MAX(P220-W220,0),0),0)/J220,2),0))</f>
        <v>1.66</v>
      </c>
      <c r="AJ220" s="45">
        <f t="shared" si="92"/>
        <v>4584083.0579910437</v>
      </c>
      <c r="AK220" s="45">
        <f t="shared" si="92"/>
        <v>1928651.580029574</v>
      </c>
      <c r="AL220" s="47">
        <f t="shared" si="93"/>
        <v>3.95</v>
      </c>
      <c r="AM220" s="47">
        <f t="shared" si="93"/>
        <v>3.08</v>
      </c>
      <c r="AN220" s="87">
        <f>IFERROR(INDEX(FeeCalc!P:P,MATCH(C220,FeeCalc!F:F,0)),0)</f>
        <v>11555170.372639999</v>
      </c>
      <c r="AO220" s="87">
        <f>IFERROR(INDEX(FeeCalc!S:S,MATCH(C220,FeeCalc!F:F,0)),0)</f>
        <v>725157.61559044546</v>
      </c>
      <c r="AP220" s="87">
        <f t="shared" si="94"/>
        <v>12280327.988230444</v>
      </c>
      <c r="AQ220" s="72">
        <f t="shared" si="95"/>
        <v>5210936.1359018022</v>
      </c>
      <c r="AR220" s="72">
        <f t="shared" si="96"/>
        <v>2605468.0679509011</v>
      </c>
      <c r="AS220" s="72">
        <f t="shared" si="97"/>
        <v>2605468.0679509011</v>
      </c>
      <c r="AT220" s="72">
        <f>IFERROR(IFERROR(INDEX('2023 IP UPL Data'!L:L,MATCH(A:A,'2023 IP UPL Data'!B:B,0)),INDEX('2023 IMD UPL Data'!I:I,MATCH(A:A,'2023 IMD UPL Data'!B:B,0))),0)</f>
        <v>1954754.4624999999</v>
      </c>
      <c r="AU220" s="72">
        <f>IFERROR(IF(F218="IMD",0,INDEX('2023 OP UPL Data'!J:J,MATCH(A:A,'2023 OP UPL Data'!B:B,0))),0)</f>
        <v>621330.97499999998</v>
      </c>
      <c r="AV220" s="45">
        <f t="shared" si="98"/>
        <v>2576085.4375</v>
      </c>
      <c r="AW220" s="72">
        <f>IFERROR(IFERROR(INDEX('2023 IP UPL Data'!M:M,MATCH(A:A,'2023 IP UPL Data'!B:B,0)),INDEX('2023 IMD UPL Data'!K:K,MATCH(A:A,'2023 IMD UPL Data'!B:B,0))),0)</f>
        <v>4697443.34</v>
      </c>
      <c r="AX220" s="72">
        <f>IFERROR(IF(F218="IMD",0,INDEX('2023 OP UPL Data'!L:L,MATCH(A:A,'2023 OP UPL Data'!B:B,0))),0)</f>
        <v>3318979.59</v>
      </c>
      <c r="AY220" s="45">
        <f t="shared" si="99"/>
        <v>8016422.9299999997</v>
      </c>
      <c r="AZ220" s="72">
        <v>11947003.701800667</v>
      </c>
      <c r="BA220" s="72">
        <v>5675473.642105259</v>
      </c>
      <c r="BB220" s="72">
        <f t="shared" si="100"/>
        <v>8554378.3549174275</v>
      </c>
      <c r="BC220" s="72">
        <f t="shared" si="100"/>
        <v>4025663.2543691173</v>
      </c>
      <c r="BD220" s="72">
        <f t="shared" si="101"/>
        <v>12580041.609286545</v>
      </c>
      <c r="BE220" s="94">
        <f t="shared" si="102"/>
        <v>7249560.3618006669</v>
      </c>
      <c r="BF220" s="94">
        <f t="shared" si="102"/>
        <v>2356494.0521052592</v>
      </c>
      <c r="BG220" s="73">
        <f>IFERROR(INDEX('2023 IP UPL Data'!K:K,MATCH(A220,'2023 IP UPL Data'!B:B,0)),0)</f>
        <v>0</v>
      </c>
    </row>
    <row r="221" spans="1:59">
      <c r="A221" s="124" t="s">
        <v>638</v>
      </c>
      <c r="B221" s="149" t="s">
        <v>638</v>
      </c>
      <c r="C221" s="31" t="s">
        <v>639</v>
      </c>
      <c r="D221" s="181" t="s">
        <v>639</v>
      </c>
      <c r="E221" s="144" t="s">
        <v>2963</v>
      </c>
      <c r="F221" s="120" t="s">
        <v>2718</v>
      </c>
      <c r="G221" s="120" t="s">
        <v>1366</v>
      </c>
      <c r="H221" s="43" t="str">
        <f t="shared" si="82"/>
        <v>Urban Tarrant</v>
      </c>
      <c r="I221" s="45">
        <f>INDEX(FeeCalc!M:M,MATCH(C:C,FeeCalc!F:F,0))</f>
        <v>4602749.4911920633</v>
      </c>
      <c r="J221" s="45">
        <f>INDEX(FeeCalc!L:L,MATCH(C:C,FeeCalc!F:F,0))</f>
        <v>2245256.165552672</v>
      </c>
      <c r="K221" s="45">
        <f t="shared" si="83"/>
        <v>6848005.6567447353</v>
      </c>
      <c r="L221" s="45">
        <f>IFERROR(IFERROR(INDEX('2023 IP UPL Data'!N:N,MATCH(A:A,'2023 IP UPL Data'!B:B,0)),INDEX('2023 IMD UPL Data'!M:M,MATCH(A:A,'2023 IMD UPL Data'!B:B,0))),0)</f>
        <v>9763332.1662500016</v>
      </c>
      <c r="M221" s="45">
        <f>IFERROR((IF(F221="IMD",0,INDEX('2023 OP UPL Data'!M:M,MATCH(A:A,'2023 OP UPL Data'!B:B,0)))),0)</f>
        <v>5949200.4100000001</v>
      </c>
      <c r="N221" s="45">
        <f t="shared" si="84"/>
        <v>15712532.576250002</v>
      </c>
      <c r="O221" s="45">
        <v>20174137.109588128</v>
      </c>
      <c r="P221" s="45">
        <v>9052934.9301801957</v>
      </c>
      <c r="Q221" s="45">
        <f t="shared" si="85"/>
        <v>29227072.039768323</v>
      </c>
      <c r="R221" s="45" t="str">
        <f t="shared" si="86"/>
        <v>Yes</v>
      </c>
      <c r="S221" s="46" t="str">
        <f t="shared" si="86"/>
        <v>Yes</v>
      </c>
      <c r="T221" s="47">
        <f>ROUND(INDEX(Summary!H:H,MATCH(H:H,Summary!A:A,0)),2)</f>
        <v>1.68</v>
      </c>
      <c r="U221" s="47">
        <f>ROUND(INDEX(Summary!I:I,MATCH(H:H,Summary!A:A,0)),2)</f>
        <v>1.42</v>
      </c>
      <c r="V221" s="85">
        <f t="shared" si="87"/>
        <v>7732619.1452026665</v>
      </c>
      <c r="W221" s="85">
        <f t="shared" si="87"/>
        <v>3188263.755084794</v>
      </c>
      <c r="X221" s="45">
        <f t="shared" si="88"/>
        <v>10920882.900287461</v>
      </c>
      <c r="Y221" s="45" t="s">
        <v>3223</v>
      </c>
      <c r="Z221" s="45" t="str">
        <f t="shared" si="89"/>
        <v>Yes</v>
      </c>
      <c r="AA221" s="45" t="str">
        <f t="shared" si="89"/>
        <v>Yes</v>
      </c>
      <c r="AB221" s="45" t="str">
        <f t="shared" si="90"/>
        <v>Yes</v>
      </c>
      <c r="AC221" s="86">
        <f t="shared" si="103"/>
        <v>1.88</v>
      </c>
      <c r="AD221" s="86">
        <f t="shared" si="104"/>
        <v>1.82</v>
      </c>
      <c r="AE221" s="45">
        <f t="shared" si="105"/>
        <v>8653169.0434410777</v>
      </c>
      <c r="AF221" s="45">
        <f t="shared" si="105"/>
        <v>4086366.221305863</v>
      </c>
      <c r="AG221" s="45">
        <f t="shared" si="91"/>
        <v>12739535.264746942</v>
      </c>
      <c r="AH221" s="47">
        <f>IF(Y221="No",0,IFERROR(ROUNDDOWN(INDEX('90% of ACR'!K:K,MATCH(H:H,'90% of ACR'!A:A,0))*IF(I221&gt;0,IF(O221&gt;0,$R$4*MAX(O221-V221,0),0),0)/I221,2),0))</f>
        <v>1.88</v>
      </c>
      <c r="AI221" s="86">
        <f>IF(Y221="No",0,IFERROR(ROUNDDOWN(INDEX('90% of ACR'!R:R,MATCH(H:H,'90% of ACR'!A:A,0))*IF(J221&gt;0,IF(P221&gt;0,$R$4*MAX(P221-W221,0),0),0)/J221,2),0))</f>
        <v>1.48</v>
      </c>
      <c r="AJ221" s="45">
        <f t="shared" si="92"/>
        <v>8653169.0434410777</v>
      </c>
      <c r="AK221" s="45">
        <f t="shared" si="92"/>
        <v>3322979.1250179545</v>
      </c>
      <c r="AL221" s="47">
        <f t="shared" si="93"/>
        <v>3.5599999999999996</v>
      </c>
      <c r="AM221" s="47">
        <f t="shared" si="93"/>
        <v>2.9</v>
      </c>
      <c r="AN221" s="87">
        <f>IFERROR(INDEX(FeeCalc!P:P,MATCH(C221,FeeCalc!F:F,0)),0)</f>
        <v>22897031.068746492</v>
      </c>
      <c r="AO221" s="87">
        <f>IFERROR(INDEX(FeeCalc!S:S,MATCH(C221,FeeCalc!F:F,0)),0)</f>
        <v>1443054.8265383421</v>
      </c>
      <c r="AP221" s="87">
        <f t="shared" si="94"/>
        <v>24340085.895284835</v>
      </c>
      <c r="AQ221" s="72">
        <f t="shared" si="95"/>
        <v>10328277.328118006</v>
      </c>
      <c r="AR221" s="72">
        <f t="shared" si="96"/>
        <v>5164138.6640590029</v>
      </c>
      <c r="AS221" s="72">
        <f t="shared" si="97"/>
        <v>5164138.6640590029</v>
      </c>
      <c r="AT221" s="72">
        <f>IFERROR(IFERROR(INDEX('2023 IP UPL Data'!L:L,MATCH(A:A,'2023 IP UPL Data'!B:B,0)),INDEX('2023 IMD UPL Data'!I:I,MATCH(A:A,'2023 IMD UPL Data'!B:B,0))),0)</f>
        <v>4506284.2937499993</v>
      </c>
      <c r="AU221" s="72">
        <f>IFERROR(IF(F219="IMD",0,INDEX('2023 OP UPL Data'!J:J,MATCH(A:A,'2023 OP UPL Data'!B:B,0))),0)</f>
        <v>1457360.65</v>
      </c>
      <c r="AV221" s="45">
        <f t="shared" si="98"/>
        <v>5963644.9437499996</v>
      </c>
      <c r="AW221" s="72">
        <f>IFERROR(IFERROR(INDEX('2023 IP UPL Data'!M:M,MATCH(A:A,'2023 IP UPL Data'!B:B,0)),INDEX('2023 IMD UPL Data'!K:K,MATCH(A:A,'2023 IMD UPL Data'!B:B,0))),0)</f>
        <v>14269616.460000001</v>
      </c>
      <c r="AX221" s="72">
        <f>IFERROR(IF(F219="IMD",0,INDEX('2023 OP UPL Data'!L:L,MATCH(A:A,'2023 OP UPL Data'!B:B,0))),0)</f>
        <v>7406561.0599999996</v>
      </c>
      <c r="AY221" s="45">
        <f t="shared" si="99"/>
        <v>21676177.52</v>
      </c>
      <c r="AZ221" s="72">
        <v>24680421.403338127</v>
      </c>
      <c r="BA221" s="72">
        <v>10510295.580180196</v>
      </c>
      <c r="BB221" s="72">
        <f t="shared" si="100"/>
        <v>16947802.25813546</v>
      </c>
      <c r="BC221" s="72">
        <f t="shared" si="100"/>
        <v>7322031.8250954021</v>
      </c>
      <c r="BD221" s="72">
        <f t="shared" si="101"/>
        <v>24269834.083230864</v>
      </c>
      <c r="BE221" s="94">
        <f t="shared" si="102"/>
        <v>10410804.943338126</v>
      </c>
      <c r="BF221" s="94">
        <f t="shared" si="102"/>
        <v>3103734.5201801965</v>
      </c>
      <c r="BG221" s="73">
        <f>IFERROR(INDEX('2023 IP UPL Data'!K:K,MATCH(A221,'2023 IP UPL Data'!B:B,0)),0)</f>
        <v>0</v>
      </c>
    </row>
    <row r="222" spans="1:59" ht="25.5">
      <c r="A222" s="124" t="s">
        <v>1250</v>
      </c>
      <c r="B222" s="149" t="s">
        <v>1250</v>
      </c>
      <c r="C222" s="31" t="s">
        <v>1251</v>
      </c>
      <c r="D222" s="181" t="s">
        <v>1251</v>
      </c>
      <c r="E222" s="144" t="s">
        <v>2957</v>
      </c>
      <c r="F222" s="120" t="s">
        <v>3069</v>
      </c>
      <c r="G222" s="120" t="s">
        <v>223</v>
      </c>
      <c r="H222" s="43" t="str">
        <f t="shared" si="82"/>
        <v>Non-state-owned IMD Dallas</v>
      </c>
      <c r="I222" s="45">
        <f>INDEX(FeeCalc!M:M,MATCH(C:C,FeeCalc!F:F,0))</f>
        <v>861115.13209378242</v>
      </c>
      <c r="J222" s="45">
        <f>INDEX(FeeCalc!L:L,MATCH(C:C,FeeCalc!F:F,0))</f>
        <v>0</v>
      </c>
      <c r="K222" s="45">
        <f t="shared" si="83"/>
        <v>861115.13209378242</v>
      </c>
      <c r="L222" s="45">
        <f>IFERROR(IFERROR(INDEX('2023 IP UPL Data'!N:N,MATCH(A:A,'2023 IP UPL Data'!B:B,0)),INDEX('2023 IMD UPL Data'!M:M,MATCH(A:A,'2023 IMD UPL Data'!B:B,0))),0)</f>
        <v>-1142225.1000000001</v>
      </c>
      <c r="M222" s="45">
        <f>IFERROR((IF(F222="IMD",0,INDEX('2023 OP UPL Data'!M:M,MATCH(A:A,'2023 OP UPL Data'!B:B,0)))),0)</f>
        <v>0</v>
      </c>
      <c r="N222" s="45">
        <f t="shared" si="84"/>
        <v>-1142225.1000000001</v>
      </c>
      <c r="O222" s="45">
        <v>1848031.9567328896</v>
      </c>
      <c r="P222" s="45">
        <v>0</v>
      </c>
      <c r="Q222" s="45">
        <f t="shared" si="85"/>
        <v>1848031.9567328896</v>
      </c>
      <c r="R222" s="45" t="str">
        <f t="shared" si="86"/>
        <v>Yes</v>
      </c>
      <c r="S222" s="46" t="str">
        <f t="shared" si="86"/>
        <v>No</v>
      </c>
      <c r="T222" s="47">
        <f>ROUND(INDEX(Summary!H:H,MATCH(H:H,Summary!A:A,0)),2)</f>
        <v>0.03</v>
      </c>
      <c r="U222" s="47">
        <f>ROUND(INDEX(Summary!I:I,MATCH(H:H,Summary!A:A,0)),2)</f>
        <v>0</v>
      </c>
      <c r="V222" s="85">
        <f t="shared" si="87"/>
        <v>25833.45396281347</v>
      </c>
      <c r="W222" s="85">
        <f t="shared" si="87"/>
        <v>0</v>
      </c>
      <c r="X222" s="45">
        <f t="shared" si="88"/>
        <v>25833.45396281347</v>
      </c>
      <c r="Y222" s="45" t="s">
        <v>3223</v>
      </c>
      <c r="Z222" s="45" t="str">
        <f t="shared" si="89"/>
        <v>Yes</v>
      </c>
      <c r="AA222" s="45" t="str">
        <f t="shared" si="89"/>
        <v>No</v>
      </c>
      <c r="AB222" s="45" t="str">
        <f t="shared" si="90"/>
        <v>Yes</v>
      </c>
      <c r="AC222" s="86">
        <f t="shared" si="103"/>
        <v>1.47</v>
      </c>
      <c r="AD222" s="86">
        <f t="shared" si="104"/>
        <v>0</v>
      </c>
      <c r="AE222" s="45">
        <f t="shared" si="105"/>
        <v>1265839.2441778602</v>
      </c>
      <c r="AF222" s="45">
        <f t="shared" si="105"/>
        <v>0</v>
      </c>
      <c r="AG222" s="45">
        <f t="shared" si="91"/>
        <v>1265839.2441778602</v>
      </c>
      <c r="AH222" s="47">
        <f>IF(Y222="No",0,IFERROR(ROUNDDOWN(INDEX('90% of ACR'!K:K,MATCH(H:H,'90% of ACR'!A:A,0))*IF(I222&gt;0,IF(O222&gt;0,$R$4*MAX(O222-V222,0),0),0)/I222,2),0))</f>
        <v>1.26</v>
      </c>
      <c r="AI222" s="86">
        <f>IF(Y222="No",0,IFERROR(ROUNDDOWN(INDEX('90% of ACR'!R:R,MATCH(H:H,'90% of ACR'!A:A,0))*IF(J222&gt;0,IF(P222&gt;0,$R$4*MAX(P222-W222,0),0),0)/J222,2),0))</f>
        <v>0</v>
      </c>
      <c r="AJ222" s="45">
        <f t="shared" si="92"/>
        <v>1085005.066438166</v>
      </c>
      <c r="AK222" s="45">
        <f t="shared" si="92"/>
        <v>0</v>
      </c>
      <c r="AL222" s="47">
        <f t="shared" si="93"/>
        <v>1.29</v>
      </c>
      <c r="AM222" s="47">
        <f t="shared" si="93"/>
        <v>0</v>
      </c>
      <c r="AN222" s="87">
        <f>IFERROR(INDEX(FeeCalc!P:P,MATCH(C222,FeeCalc!F:F,0)),0)</f>
        <v>1110838.5204009793</v>
      </c>
      <c r="AO222" s="87">
        <f>IFERROR(INDEX(FeeCalc!S:S,MATCH(C222,FeeCalc!F:F,0)),0)</f>
        <v>67769.989308282573</v>
      </c>
      <c r="AP222" s="87">
        <f t="shared" si="94"/>
        <v>1178608.5097092618</v>
      </c>
      <c r="AQ222" s="72">
        <f t="shared" si="95"/>
        <v>500121.3061419506</v>
      </c>
      <c r="AR222" s="72">
        <f t="shared" si="96"/>
        <v>250060.6530709753</v>
      </c>
      <c r="AS222" s="72">
        <f t="shared" si="97"/>
        <v>250060.6530709753</v>
      </c>
      <c r="AT222" s="72">
        <f>IFERROR(IFERROR(INDEX('2023 IP UPL Data'!L:L,MATCH(A:A,'2023 IP UPL Data'!B:B,0)),INDEX('2023 IMD UPL Data'!I:I,MATCH(A:A,'2023 IMD UPL Data'!B:B,0))),0)</f>
        <v>6548909.1500000004</v>
      </c>
      <c r="AU222" s="72">
        <f>IFERROR(IF(F220="IMD",0,INDEX('2023 OP UPL Data'!J:J,MATCH(A:A,'2023 OP UPL Data'!B:B,0))),0)</f>
        <v>0</v>
      </c>
      <c r="AV222" s="45">
        <f t="shared" si="98"/>
        <v>6548909.1500000004</v>
      </c>
      <c r="AW222" s="72">
        <f>IFERROR(IFERROR(INDEX('2023 IP UPL Data'!M:M,MATCH(A:A,'2023 IP UPL Data'!B:B,0)),INDEX('2023 IMD UPL Data'!K:K,MATCH(A:A,'2023 IMD UPL Data'!B:B,0))),0)</f>
        <v>-1142225.1000000001</v>
      </c>
      <c r="AX222" s="72">
        <f>IFERROR(IF(F220="IMD",0,INDEX('2023 OP UPL Data'!L:L,MATCH(A:A,'2023 OP UPL Data'!B:B,0))),0)</f>
        <v>0</v>
      </c>
      <c r="AY222" s="45">
        <f t="shared" si="99"/>
        <v>-1142225.1000000001</v>
      </c>
      <c r="AZ222" s="72">
        <v>8396941.10673289</v>
      </c>
      <c r="BA222" s="72">
        <v>0</v>
      </c>
      <c r="BB222" s="72">
        <f t="shared" si="100"/>
        <v>8371107.6527700769</v>
      </c>
      <c r="BC222" s="72">
        <f t="shared" si="100"/>
        <v>0</v>
      </c>
      <c r="BD222" s="72">
        <f t="shared" si="101"/>
        <v>8371107.6527700769</v>
      </c>
      <c r="BE222" s="94">
        <f t="shared" si="102"/>
        <v>9539166.2067328896</v>
      </c>
      <c r="BF222" s="94">
        <f t="shared" si="102"/>
        <v>0</v>
      </c>
      <c r="BG222" s="73">
        <f>IFERROR(INDEX('2023 IP UPL Data'!K:K,MATCH(A222,'2023 IP UPL Data'!B:B,0)),0)</f>
        <v>0</v>
      </c>
    </row>
    <row r="223" spans="1:59">
      <c r="A223" s="124" t="s">
        <v>629</v>
      </c>
      <c r="B223" s="149" t="s">
        <v>629</v>
      </c>
      <c r="C223" s="31" t="s">
        <v>630</v>
      </c>
      <c r="D223" s="181" t="s">
        <v>630</v>
      </c>
      <c r="E223" s="144" t="s">
        <v>2956</v>
      </c>
      <c r="F223" s="120" t="s">
        <v>2718</v>
      </c>
      <c r="G223" s="120" t="s">
        <v>223</v>
      </c>
      <c r="H223" s="43" t="str">
        <f t="shared" si="82"/>
        <v>Urban Dallas</v>
      </c>
      <c r="I223" s="45">
        <f>INDEX(FeeCalc!M:M,MATCH(C:C,FeeCalc!F:F,0))</f>
        <v>3218208.9282210548</v>
      </c>
      <c r="J223" s="45">
        <f>INDEX(FeeCalc!L:L,MATCH(C:C,FeeCalc!F:F,0))</f>
        <v>1153485.3691829583</v>
      </c>
      <c r="K223" s="45">
        <f t="shared" si="83"/>
        <v>4371694.2974040136</v>
      </c>
      <c r="L223" s="45">
        <f>IFERROR(IFERROR(INDEX('2023 IP UPL Data'!N:N,MATCH(A:A,'2023 IP UPL Data'!B:B,0)),INDEX('2023 IMD UPL Data'!M:M,MATCH(A:A,'2023 IMD UPL Data'!B:B,0))),0)</f>
        <v>3727592.1565060243</v>
      </c>
      <c r="M223" s="45">
        <f>IFERROR((IF(F223="IMD",0,INDEX('2023 OP UPL Data'!M:M,MATCH(A:A,'2023 OP UPL Data'!B:B,0)))),0)</f>
        <v>1111637.5859036148</v>
      </c>
      <c r="N223" s="45">
        <f t="shared" si="84"/>
        <v>4839229.7424096391</v>
      </c>
      <c r="O223" s="45">
        <v>10142852.824580416</v>
      </c>
      <c r="P223" s="45">
        <v>2861190.9918971378</v>
      </c>
      <c r="Q223" s="45">
        <f t="shared" si="85"/>
        <v>13004043.816477554</v>
      </c>
      <c r="R223" s="45" t="str">
        <f t="shared" si="86"/>
        <v>Yes</v>
      </c>
      <c r="S223" s="46" t="str">
        <f t="shared" si="86"/>
        <v>Yes</v>
      </c>
      <c r="T223" s="47">
        <f>ROUND(INDEX(Summary!H:H,MATCH(H:H,Summary!A:A,0)),2)</f>
        <v>1.2</v>
      </c>
      <c r="U223" s="47">
        <f>ROUND(INDEX(Summary!I:I,MATCH(H:H,Summary!A:A,0)),2)</f>
        <v>1.08</v>
      </c>
      <c r="V223" s="85">
        <f t="shared" si="87"/>
        <v>3861850.7138652657</v>
      </c>
      <c r="W223" s="85">
        <f t="shared" si="87"/>
        <v>1245764.1987175951</v>
      </c>
      <c r="X223" s="45">
        <f t="shared" si="88"/>
        <v>5107614.9125828613</v>
      </c>
      <c r="Y223" s="45" t="s">
        <v>3223</v>
      </c>
      <c r="Z223" s="45" t="str">
        <f t="shared" si="89"/>
        <v>Yes</v>
      </c>
      <c r="AA223" s="45" t="str">
        <f t="shared" si="89"/>
        <v>Yes</v>
      </c>
      <c r="AB223" s="45" t="str">
        <f t="shared" si="90"/>
        <v>Yes</v>
      </c>
      <c r="AC223" s="86">
        <f t="shared" si="103"/>
        <v>1.36</v>
      </c>
      <c r="AD223" s="86">
        <f t="shared" si="104"/>
        <v>0.98</v>
      </c>
      <c r="AE223" s="45">
        <f t="shared" si="105"/>
        <v>4376764.1423806353</v>
      </c>
      <c r="AF223" s="45">
        <f t="shared" si="105"/>
        <v>1130415.6617992991</v>
      </c>
      <c r="AG223" s="45">
        <f t="shared" si="91"/>
        <v>5507179.8041799348</v>
      </c>
      <c r="AH223" s="47">
        <f>IF(Y223="No",0,IFERROR(ROUNDDOWN(INDEX('90% of ACR'!K:K,MATCH(H:H,'90% of ACR'!A:A,0))*IF(I223&gt;0,IF(O223&gt;0,$R$4*MAX(O223-V223,0),0),0)/I223,2),0))</f>
        <v>1.31</v>
      </c>
      <c r="AI223" s="86">
        <f>IF(Y223="No",0,IFERROR(ROUNDDOWN(INDEX('90% of ACR'!R:R,MATCH(H:H,'90% of ACR'!A:A,0))*IF(J223&gt;0,IF(P223&gt;0,$R$4*MAX(P223-W223,0),0),0)/J223,2),0))</f>
        <v>0.97</v>
      </c>
      <c r="AJ223" s="45">
        <f t="shared" si="92"/>
        <v>4215853.6959695816</v>
      </c>
      <c r="AK223" s="45">
        <f t="shared" si="92"/>
        <v>1118880.8081074695</v>
      </c>
      <c r="AL223" s="47">
        <f t="shared" si="93"/>
        <v>2.5099999999999998</v>
      </c>
      <c r="AM223" s="47">
        <f t="shared" si="93"/>
        <v>2.0499999999999998</v>
      </c>
      <c r="AN223" s="87">
        <f>IFERROR(INDEX(FeeCalc!P:P,MATCH(C223,FeeCalc!F:F,0)),0)</f>
        <v>10442349.41665991</v>
      </c>
      <c r="AO223" s="87">
        <f>IFERROR(INDEX(FeeCalc!S:S,MATCH(C223,FeeCalc!F:F,0)),0)</f>
        <v>642193.41242659383</v>
      </c>
      <c r="AP223" s="87">
        <f t="shared" si="94"/>
        <v>11084542.829086505</v>
      </c>
      <c r="AQ223" s="72">
        <f t="shared" si="95"/>
        <v>4703526.2277519358</v>
      </c>
      <c r="AR223" s="72">
        <f t="shared" si="96"/>
        <v>2351763.1138759679</v>
      </c>
      <c r="AS223" s="72">
        <f t="shared" si="97"/>
        <v>2351763.1138759679</v>
      </c>
      <c r="AT223" s="72">
        <f>IFERROR(IFERROR(INDEX('2023 IP UPL Data'!L:L,MATCH(A:A,'2023 IP UPL Data'!B:B,0)),INDEX('2023 IMD UPL Data'!I:I,MATCH(A:A,'2023 IMD UPL Data'!B:B,0))),0)</f>
        <v>2994985.873493976</v>
      </c>
      <c r="AU223" s="72">
        <f>IFERROR(IF(F221="IMD",0,INDEX('2023 OP UPL Data'!J:J,MATCH(A:A,'2023 OP UPL Data'!B:B,0))),0)</f>
        <v>602493.02409638546</v>
      </c>
      <c r="AV223" s="45">
        <f t="shared" si="98"/>
        <v>3597478.8975903615</v>
      </c>
      <c r="AW223" s="72">
        <f>IFERROR(IFERROR(INDEX('2023 IP UPL Data'!M:M,MATCH(A:A,'2023 IP UPL Data'!B:B,0)),INDEX('2023 IMD UPL Data'!K:K,MATCH(A:A,'2023 IMD UPL Data'!B:B,0))),0)</f>
        <v>6722578.0300000003</v>
      </c>
      <c r="AX223" s="72">
        <f>IFERROR(IF(F221="IMD",0,INDEX('2023 OP UPL Data'!L:L,MATCH(A:A,'2023 OP UPL Data'!B:B,0))),0)</f>
        <v>1714130.61</v>
      </c>
      <c r="AY223" s="45">
        <f t="shared" si="99"/>
        <v>8436708.6400000006</v>
      </c>
      <c r="AZ223" s="72">
        <v>13137838.698074393</v>
      </c>
      <c r="BA223" s="72">
        <v>3463684.0159935234</v>
      </c>
      <c r="BB223" s="72">
        <f t="shared" si="100"/>
        <v>9275987.9842091277</v>
      </c>
      <c r="BC223" s="72">
        <f t="shared" si="100"/>
        <v>2217919.8172759283</v>
      </c>
      <c r="BD223" s="72">
        <f t="shared" si="101"/>
        <v>11493907.801485056</v>
      </c>
      <c r="BE223" s="94">
        <f t="shared" si="102"/>
        <v>6415260.6680743927</v>
      </c>
      <c r="BF223" s="94">
        <f t="shared" si="102"/>
        <v>1749553.4059935233</v>
      </c>
      <c r="BG223" s="73">
        <f>IFERROR(INDEX('2023 IP UPL Data'!K:K,MATCH(A223,'2023 IP UPL Data'!B:B,0)),0)</f>
        <v>0</v>
      </c>
    </row>
    <row r="224" spans="1:59">
      <c r="A224" s="124" t="s">
        <v>828</v>
      </c>
      <c r="B224" s="149" t="s">
        <v>828</v>
      </c>
      <c r="C224" s="31" t="s">
        <v>829</v>
      </c>
      <c r="D224" s="181" t="s">
        <v>829</v>
      </c>
      <c r="E224" s="144" t="s">
        <v>2965</v>
      </c>
      <c r="F224" s="120" t="s">
        <v>2718</v>
      </c>
      <c r="G224" s="120" t="s">
        <v>1366</v>
      </c>
      <c r="H224" s="43" t="str">
        <f t="shared" si="82"/>
        <v>Urban Tarrant</v>
      </c>
      <c r="I224" s="45">
        <f>INDEX(FeeCalc!M:M,MATCH(C:C,FeeCalc!F:F,0))</f>
        <v>6005851.3905895604</v>
      </c>
      <c r="J224" s="45">
        <f>INDEX(FeeCalc!L:L,MATCH(C:C,FeeCalc!F:F,0))</f>
        <v>1476970.1955820762</v>
      </c>
      <c r="K224" s="45">
        <f t="shared" si="83"/>
        <v>7482821.5861716364</v>
      </c>
      <c r="L224" s="45">
        <f>IFERROR(IFERROR(INDEX('2023 IP UPL Data'!N:N,MATCH(A:A,'2023 IP UPL Data'!B:B,0)),INDEX('2023 IMD UPL Data'!M:M,MATCH(A:A,'2023 IMD UPL Data'!B:B,0))),0)</f>
        <v>8082543.9474999998</v>
      </c>
      <c r="M224" s="45">
        <f>IFERROR((IF(F224="IMD",0,INDEX('2023 OP UPL Data'!M:M,MATCH(A:A,'2023 OP UPL Data'!B:B,0)))),0)</f>
        <v>2478205.37</v>
      </c>
      <c r="N224" s="45">
        <f t="shared" si="84"/>
        <v>10560749.317499999</v>
      </c>
      <c r="O224" s="45">
        <v>16203962.012608599</v>
      </c>
      <c r="P224" s="45">
        <v>4962694.962187361</v>
      </c>
      <c r="Q224" s="45">
        <f t="shared" si="85"/>
        <v>21166656.97479596</v>
      </c>
      <c r="R224" s="45" t="str">
        <f t="shared" si="86"/>
        <v>Yes</v>
      </c>
      <c r="S224" s="46" t="str">
        <f t="shared" si="86"/>
        <v>Yes</v>
      </c>
      <c r="T224" s="47">
        <f>ROUND(INDEX(Summary!H:H,MATCH(H:H,Summary!A:A,0)),2)</f>
        <v>1.68</v>
      </c>
      <c r="U224" s="47">
        <f>ROUND(INDEX(Summary!I:I,MATCH(H:H,Summary!A:A,0)),2)</f>
        <v>1.42</v>
      </c>
      <c r="V224" s="85">
        <f t="shared" si="87"/>
        <v>10089830.33619046</v>
      </c>
      <c r="W224" s="85">
        <f t="shared" si="87"/>
        <v>2097297.6777265482</v>
      </c>
      <c r="X224" s="45">
        <f t="shared" si="88"/>
        <v>12187128.013917008</v>
      </c>
      <c r="Y224" s="45" t="s">
        <v>3223</v>
      </c>
      <c r="Z224" s="45" t="str">
        <f t="shared" si="89"/>
        <v>Yes</v>
      </c>
      <c r="AA224" s="45" t="str">
        <f t="shared" si="89"/>
        <v>Yes</v>
      </c>
      <c r="AB224" s="45" t="str">
        <f t="shared" si="90"/>
        <v>Yes</v>
      </c>
      <c r="AC224" s="86">
        <f t="shared" si="103"/>
        <v>0.71</v>
      </c>
      <c r="AD224" s="86">
        <f t="shared" si="104"/>
        <v>1.35</v>
      </c>
      <c r="AE224" s="45">
        <f t="shared" si="105"/>
        <v>4264154.4873185875</v>
      </c>
      <c r="AF224" s="45">
        <f t="shared" si="105"/>
        <v>1993909.764035803</v>
      </c>
      <c r="AG224" s="45">
        <f t="shared" si="91"/>
        <v>6258064.2513543908</v>
      </c>
      <c r="AH224" s="47">
        <f>IF(Y224="No",0,IFERROR(ROUNDDOWN(INDEX('90% of ACR'!K:K,MATCH(H:H,'90% of ACR'!A:A,0))*IF(I224&gt;0,IF(O224&gt;0,$R$4*MAX(O224-V224,0),0),0)/I224,2),0))</f>
        <v>0.7</v>
      </c>
      <c r="AI224" s="86">
        <f>IF(Y224="No",0,IFERROR(ROUNDDOWN(INDEX('90% of ACR'!R:R,MATCH(H:H,'90% of ACR'!A:A,0))*IF(J224&gt;0,IF(P224&gt;0,$R$4*MAX(P224-W224,0),0),0)/J224,2),0))</f>
        <v>1.1000000000000001</v>
      </c>
      <c r="AJ224" s="45">
        <f t="shared" si="92"/>
        <v>4204095.9734126916</v>
      </c>
      <c r="AK224" s="45">
        <f t="shared" si="92"/>
        <v>1624667.215140284</v>
      </c>
      <c r="AL224" s="47">
        <f t="shared" si="93"/>
        <v>2.38</v>
      </c>
      <c r="AM224" s="47">
        <f t="shared" si="93"/>
        <v>2.52</v>
      </c>
      <c r="AN224" s="87">
        <f>IFERROR(INDEX(FeeCalc!P:P,MATCH(C224,FeeCalc!F:F,0)),0)</f>
        <v>18015891.202469986</v>
      </c>
      <c r="AO224" s="87">
        <f>IFERROR(INDEX(FeeCalc!S:S,MATCH(C224,FeeCalc!F:F,0)),0)</f>
        <v>1106912.3065975821</v>
      </c>
      <c r="AP224" s="87">
        <f t="shared" si="94"/>
        <v>19122803.509067569</v>
      </c>
      <c r="AQ224" s="72">
        <f t="shared" si="95"/>
        <v>8114417.4586096611</v>
      </c>
      <c r="AR224" s="72">
        <f t="shared" si="96"/>
        <v>4057208.7293048305</v>
      </c>
      <c r="AS224" s="72">
        <f t="shared" si="97"/>
        <v>4057208.7293048305</v>
      </c>
      <c r="AT224" s="72">
        <f>IFERROR(IFERROR(INDEX('2023 IP UPL Data'!L:L,MATCH(A:A,'2023 IP UPL Data'!B:B,0)),INDEX('2023 IMD UPL Data'!I:I,MATCH(A:A,'2023 IMD UPL Data'!B:B,0))),0)</f>
        <v>6567241.0625</v>
      </c>
      <c r="AU224" s="72">
        <f>IFERROR(IF(F222="IMD",0,INDEX('2023 OP UPL Data'!J:J,MATCH(A:A,'2023 OP UPL Data'!B:B,0))),0)</f>
        <v>841188.89999999991</v>
      </c>
      <c r="AV224" s="45">
        <f t="shared" si="98"/>
        <v>7408429.9625000004</v>
      </c>
      <c r="AW224" s="72">
        <f>IFERROR(IFERROR(INDEX('2023 IP UPL Data'!M:M,MATCH(A:A,'2023 IP UPL Data'!B:B,0)),INDEX('2023 IMD UPL Data'!K:K,MATCH(A:A,'2023 IMD UPL Data'!B:B,0))),0)</f>
        <v>14649785.01</v>
      </c>
      <c r="AX224" s="72">
        <f>IFERROR(IF(F222="IMD",0,INDEX('2023 OP UPL Data'!L:L,MATCH(A:A,'2023 OP UPL Data'!B:B,0))),0)</f>
        <v>3319394.27</v>
      </c>
      <c r="AY224" s="45">
        <f t="shared" si="99"/>
        <v>17969179.280000001</v>
      </c>
      <c r="AZ224" s="72">
        <v>22771203.075108599</v>
      </c>
      <c r="BA224" s="72">
        <v>5803883.8621873604</v>
      </c>
      <c r="BB224" s="72">
        <f t="shared" si="100"/>
        <v>12681372.738918139</v>
      </c>
      <c r="BC224" s="72">
        <f t="shared" si="100"/>
        <v>3706586.1844608122</v>
      </c>
      <c r="BD224" s="72">
        <f t="shared" si="101"/>
        <v>16387958.92337895</v>
      </c>
      <c r="BE224" s="94">
        <f t="shared" si="102"/>
        <v>8121418.0651085991</v>
      </c>
      <c r="BF224" s="94">
        <f t="shared" si="102"/>
        <v>2484489.5921873604</v>
      </c>
      <c r="BG224" s="73">
        <f>IFERROR(INDEX('2023 IP UPL Data'!K:K,MATCH(A224,'2023 IP UPL Data'!B:B,0)),0)</f>
        <v>0</v>
      </c>
    </row>
    <row r="225" spans="1:59" ht="25.5">
      <c r="A225" s="124" t="s">
        <v>1247</v>
      </c>
      <c r="B225" s="149" t="s">
        <v>1247</v>
      </c>
      <c r="C225" s="31" t="s">
        <v>1248</v>
      </c>
      <c r="D225" s="181" t="s">
        <v>1248</v>
      </c>
      <c r="E225" s="149" t="s">
        <v>3332</v>
      </c>
      <c r="F225" s="120" t="s">
        <v>3069</v>
      </c>
      <c r="G225" s="120" t="s">
        <v>223</v>
      </c>
      <c r="H225" s="43" t="str">
        <f t="shared" si="82"/>
        <v>Non-state-owned IMD Dallas</v>
      </c>
      <c r="I225" s="45">
        <f>INDEX(FeeCalc!M:M,MATCH(C:C,FeeCalc!F:F,0))</f>
        <v>413788.18853977515</v>
      </c>
      <c r="J225" s="45">
        <f>INDEX(FeeCalc!L:L,MATCH(C:C,FeeCalc!F:F,0))</f>
        <v>0</v>
      </c>
      <c r="K225" s="45">
        <f t="shared" si="83"/>
        <v>413788.18853977515</v>
      </c>
      <c r="L225" s="45">
        <f>IFERROR(IFERROR(INDEX('2023 IP UPL Data'!N:N,MATCH(A:A,'2023 IP UPL Data'!B:B,0)),INDEX('2023 IMD UPL Data'!M:M,MATCH(A:A,'2023 IMD UPL Data'!B:B,0))),0)</f>
        <v>721040.76</v>
      </c>
      <c r="M225" s="45">
        <f>IFERROR((IF(F225="IMD",0,INDEX('2023 OP UPL Data'!M:M,MATCH(A:A,'2023 OP UPL Data'!B:B,0)))),0)</f>
        <v>0</v>
      </c>
      <c r="N225" s="45">
        <f t="shared" si="84"/>
        <v>721040.76</v>
      </c>
      <c r="O225" s="45">
        <v>721028.8166795366</v>
      </c>
      <c r="P225" s="45">
        <v>0</v>
      </c>
      <c r="Q225" s="45">
        <f t="shared" si="85"/>
        <v>721028.8166795366</v>
      </c>
      <c r="R225" s="45" t="str">
        <f t="shared" si="86"/>
        <v>Yes</v>
      </c>
      <c r="S225" s="46" t="str">
        <f t="shared" si="86"/>
        <v>No</v>
      </c>
      <c r="T225" s="47">
        <f>ROUND(INDEX(Summary!H:H,MATCH(H:H,Summary!A:A,0)),2)</f>
        <v>0.03</v>
      </c>
      <c r="U225" s="47">
        <f>ROUND(INDEX(Summary!I:I,MATCH(H:H,Summary!A:A,0)),2)</f>
        <v>0</v>
      </c>
      <c r="V225" s="85">
        <f t="shared" si="87"/>
        <v>12413.645656193254</v>
      </c>
      <c r="W225" s="85">
        <f t="shared" si="87"/>
        <v>0</v>
      </c>
      <c r="X225" s="45">
        <f t="shared" si="88"/>
        <v>12413.645656193254</v>
      </c>
      <c r="Y225" s="45" t="s">
        <v>3223</v>
      </c>
      <c r="Z225" s="45" t="str">
        <f t="shared" si="89"/>
        <v>Yes</v>
      </c>
      <c r="AA225" s="45" t="str">
        <f t="shared" si="89"/>
        <v>No</v>
      </c>
      <c r="AB225" s="45" t="str">
        <f t="shared" si="90"/>
        <v>Yes</v>
      </c>
      <c r="AC225" s="86">
        <f t="shared" si="103"/>
        <v>1.19</v>
      </c>
      <c r="AD225" s="86">
        <f t="shared" si="104"/>
        <v>0</v>
      </c>
      <c r="AE225" s="45">
        <f t="shared" si="105"/>
        <v>492407.9443623324</v>
      </c>
      <c r="AF225" s="45">
        <f t="shared" si="105"/>
        <v>0</v>
      </c>
      <c r="AG225" s="45">
        <f t="shared" si="91"/>
        <v>492407.9443623324</v>
      </c>
      <c r="AH225" s="47">
        <f>IF(Y225="No",0,IFERROR(ROUNDDOWN(INDEX('90% of ACR'!K:K,MATCH(H:H,'90% of ACR'!A:A,0))*IF(I225&gt;0,IF(O225&gt;0,$R$4*MAX(O225-V225,0),0),0)/I225,2),0))</f>
        <v>1.02</v>
      </c>
      <c r="AI225" s="86">
        <f>IF(Y225="No",0,IFERROR(ROUNDDOWN(INDEX('90% of ACR'!R:R,MATCH(H:H,'90% of ACR'!A:A,0))*IF(J225&gt;0,IF(P225&gt;0,$R$4*MAX(P225-W225,0),0),0)/J225,2),0))</f>
        <v>0</v>
      </c>
      <c r="AJ225" s="45">
        <f t="shared" si="92"/>
        <v>422063.95231057063</v>
      </c>
      <c r="AK225" s="45">
        <f t="shared" si="92"/>
        <v>0</v>
      </c>
      <c r="AL225" s="47">
        <f t="shared" si="93"/>
        <v>1.05</v>
      </c>
      <c r="AM225" s="47">
        <f t="shared" si="93"/>
        <v>0</v>
      </c>
      <c r="AN225" s="87">
        <f>IFERROR(INDEX(FeeCalc!P:P,MATCH(C225,FeeCalc!F:F,0)),0)</f>
        <v>434477.59796676395</v>
      </c>
      <c r="AO225" s="87">
        <f>IFERROR(INDEX(FeeCalc!S:S,MATCH(C225,FeeCalc!F:F,0)),0)</f>
        <v>26506.590857388779</v>
      </c>
      <c r="AP225" s="87">
        <f t="shared" si="94"/>
        <v>460984.18882415275</v>
      </c>
      <c r="AQ225" s="72">
        <f t="shared" si="95"/>
        <v>195610.3428121304</v>
      </c>
      <c r="AR225" s="72">
        <f t="shared" si="96"/>
        <v>97805.171406065201</v>
      </c>
      <c r="AS225" s="72">
        <f t="shared" si="97"/>
        <v>97805.171406065201</v>
      </c>
      <c r="AT225" s="72">
        <f>IFERROR(IFERROR(INDEX('2023 IP UPL Data'!L:L,MATCH(A:A,'2023 IP UPL Data'!B:B,0)),INDEX('2023 IMD UPL Data'!I:I,MATCH(A:A,'2023 IMD UPL Data'!B:B,0))),0)</f>
        <v>1480506.72</v>
      </c>
      <c r="AU225" s="72">
        <f>IFERROR(IF(F223="IMD",0,INDEX('2023 OP UPL Data'!J:J,MATCH(A:A,'2023 OP UPL Data'!B:B,0))),0)</f>
        <v>0</v>
      </c>
      <c r="AV225" s="45">
        <f t="shared" si="98"/>
        <v>1480506.72</v>
      </c>
      <c r="AW225" s="72">
        <f>IFERROR(IFERROR(INDEX('2023 IP UPL Data'!M:M,MATCH(A:A,'2023 IP UPL Data'!B:B,0)),INDEX('2023 IMD UPL Data'!K:K,MATCH(A:A,'2023 IMD UPL Data'!B:B,0))),0)</f>
        <v>721040.76</v>
      </c>
      <c r="AX225" s="72">
        <f>IFERROR(IF(F223="IMD",0,INDEX('2023 OP UPL Data'!L:L,MATCH(A:A,'2023 OP UPL Data'!B:B,0))),0)</f>
        <v>0</v>
      </c>
      <c r="AY225" s="45">
        <f t="shared" si="99"/>
        <v>721040.76</v>
      </c>
      <c r="AZ225" s="72">
        <v>2201535.5366795366</v>
      </c>
      <c r="BA225" s="72">
        <v>0</v>
      </c>
      <c r="BB225" s="72">
        <f t="shared" si="100"/>
        <v>2189121.8910233434</v>
      </c>
      <c r="BC225" s="72">
        <f t="shared" si="100"/>
        <v>0</v>
      </c>
      <c r="BD225" s="72">
        <f t="shared" si="101"/>
        <v>2189121.8910233434</v>
      </c>
      <c r="BE225" s="94">
        <f t="shared" si="102"/>
        <v>1480494.7766795366</v>
      </c>
      <c r="BF225" s="94">
        <f t="shared" si="102"/>
        <v>0</v>
      </c>
      <c r="BG225" s="73">
        <f>IFERROR(INDEX('2023 IP UPL Data'!K:K,MATCH(A225,'2023 IP UPL Data'!B:B,0)),0)</f>
        <v>0</v>
      </c>
    </row>
    <row r="226" spans="1:59">
      <c r="A226" s="124" t="s">
        <v>929</v>
      </c>
      <c r="B226" s="149" t="s">
        <v>929</v>
      </c>
      <c r="C226" s="31" t="s">
        <v>930</v>
      </c>
      <c r="D226" s="181" t="s">
        <v>930</v>
      </c>
      <c r="E226" s="144" t="s">
        <v>2958</v>
      </c>
      <c r="F226" s="120" t="s">
        <v>2718</v>
      </c>
      <c r="G226" s="120" t="s">
        <v>1366</v>
      </c>
      <c r="H226" s="43" t="str">
        <f t="shared" si="82"/>
        <v>Urban Tarrant</v>
      </c>
      <c r="I226" s="45">
        <f>INDEX(FeeCalc!M:M,MATCH(C:C,FeeCalc!F:F,0))</f>
        <v>2488777.684494562</v>
      </c>
      <c r="J226" s="45">
        <f>INDEX(FeeCalc!L:L,MATCH(C:C,FeeCalc!F:F,0))</f>
        <v>1296258.3626381005</v>
      </c>
      <c r="K226" s="45">
        <f t="shared" si="83"/>
        <v>3785036.0471326625</v>
      </c>
      <c r="L226" s="45">
        <f>IFERROR(IFERROR(INDEX('2023 IP UPL Data'!N:N,MATCH(A:A,'2023 IP UPL Data'!B:B,0)),INDEX('2023 IMD UPL Data'!M:M,MATCH(A:A,'2023 IMD UPL Data'!B:B,0))),0)</f>
        <v>2260111.4050000003</v>
      </c>
      <c r="M226" s="45">
        <f>IFERROR((IF(F226="IMD",0,INDEX('2023 OP UPL Data'!M:M,MATCH(A:A,'2023 OP UPL Data'!B:B,0)))),0)</f>
        <v>1670324.6575000002</v>
      </c>
      <c r="N226" s="45">
        <f t="shared" si="84"/>
        <v>3930436.0625000005</v>
      </c>
      <c r="O226" s="45">
        <v>6419466.8436175128</v>
      </c>
      <c r="P226" s="45">
        <v>3976065.2166756848</v>
      </c>
      <c r="Q226" s="45">
        <f t="shared" si="85"/>
        <v>10395532.060293198</v>
      </c>
      <c r="R226" s="45" t="str">
        <f t="shared" si="86"/>
        <v>Yes</v>
      </c>
      <c r="S226" s="46" t="str">
        <f t="shared" si="86"/>
        <v>Yes</v>
      </c>
      <c r="T226" s="47">
        <f>ROUND(INDEX(Summary!H:H,MATCH(H:H,Summary!A:A,0)),2)</f>
        <v>1.68</v>
      </c>
      <c r="U226" s="47">
        <f>ROUND(INDEX(Summary!I:I,MATCH(H:H,Summary!A:A,0)),2)</f>
        <v>1.42</v>
      </c>
      <c r="V226" s="85">
        <f t="shared" si="87"/>
        <v>4181146.5099508641</v>
      </c>
      <c r="W226" s="85">
        <f t="shared" si="87"/>
        <v>1840686.8749461027</v>
      </c>
      <c r="X226" s="45">
        <f t="shared" si="88"/>
        <v>6021833.3848969666</v>
      </c>
      <c r="Y226" s="45" t="s">
        <v>3223</v>
      </c>
      <c r="Z226" s="45" t="str">
        <f t="shared" si="89"/>
        <v>Yes</v>
      </c>
      <c r="AA226" s="45" t="str">
        <f t="shared" si="89"/>
        <v>Yes</v>
      </c>
      <c r="AB226" s="45" t="str">
        <f t="shared" si="90"/>
        <v>Yes</v>
      </c>
      <c r="AC226" s="86">
        <f t="shared" si="103"/>
        <v>0.63</v>
      </c>
      <c r="AD226" s="86">
        <f t="shared" si="104"/>
        <v>1.1499999999999999</v>
      </c>
      <c r="AE226" s="45">
        <f t="shared" si="105"/>
        <v>1567929.9412315742</v>
      </c>
      <c r="AF226" s="45">
        <f t="shared" si="105"/>
        <v>1490697.1170338155</v>
      </c>
      <c r="AG226" s="45">
        <f t="shared" si="91"/>
        <v>3058627.0582653899</v>
      </c>
      <c r="AH226" s="47">
        <f>IF(Y226="No",0,IFERROR(ROUNDDOWN(INDEX('90% of ACR'!K:K,MATCH(H:H,'90% of ACR'!A:A,0))*IF(I226&gt;0,IF(O226&gt;0,$R$4*MAX(O226-V226,0),0),0)/I226,2),0))</f>
        <v>0.62</v>
      </c>
      <c r="AI226" s="86">
        <f>IF(Y226="No",0,IFERROR(ROUNDDOWN(INDEX('90% of ACR'!R:R,MATCH(H:H,'90% of ACR'!A:A,0))*IF(J226&gt;0,IF(P226&gt;0,$R$4*MAX(P226-W226,0),0),0)/J226,2),0))</f>
        <v>0.93</v>
      </c>
      <c r="AJ226" s="45">
        <f t="shared" si="92"/>
        <v>1543042.1643866284</v>
      </c>
      <c r="AK226" s="45">
        <f t="shared" si="92"/>
        <v>1205520.2772534336</v>
      </c>
      <c r="AL226" s="47">
        <f t="shared" si="93"/>
        <v>2.2999999999999998</v>
      </c>
      <c r="AM226" s="47">
        <f t="shared" si="93"/>
        <v>2.35</v>
      </c>
      <c r="AN226" s="87">
        <f>IFERROR(INDEX(FeeCalc!P:P,MATCH(C226,FeeCalc!F:F,0)),0)</f>
        <v>8770395.826537028</v>
      </c>
      <c r="AO226" s="87">
        <f>IFERROR(INDEX(FeeCalc!S:S,MATCH(C226,FeeCalc!F:F,0)),0)</f>
        <v>539626.51140048762</v>
      </c>
      <c r="AP226" s="87">
        <f t="shared" si="94"/>
        <v>9310022.3379375152</v>
      </c>
      <c r="AQ226" s="72">
        <f t="shared" si="95"/>
        <v>3950540.3987017022</v>
      </c>
      <c r="AR226" s="72">
        <f t="shared" si="96"/>
        <v>1975270.1993508511</v>
      </c>
      <c r="AS226" s="72">
        <f t="shared" si="97"/>
        <v>1975270.1993508511</v>
      </c>
      <c r="AT226" s="72">
        <f>IFERROR(IFERROR(INDEX('2023 IP UPL Data'!L:L,MATCH(A:A,'2023 IP UPL Data'!B:B,0)),INDEX('2023 IMD UPL Data'!I:I,MATCH(A:A,'2023 IMD UPL Data'!B:B,0))),0)</f>
        <v>2831340.8250000002</v>
      </c>
      <c r="AU226" s="72">
        <f>IFERROR(IF(F224="IMD",0,INDEX('2023 OP UPL Data'!J:J,MATCH(A:A,'2023 OP UPL Data'!B:B,0))),0)</f>
        <v>579367.5625</v>
      </c>
      <c r="AV226" s="45">
        <f t="shared" si="98"/>
        <v>3410708.3875000002</v>
      </c>
      <c r="AW226" s="72">
        <f>IFERROR(IFERROR(INDEX('2023 IP UPL Data'!M:M,MATCH(A:A,'2023 IP UPL Data'!B:B,0)),INDEX('2023 IMD UPL Data'!K:K,MATCH(A:A,'2023 IMD UPL Data'!B:B,0))),0)</f>
        <v>5091452.2300000004</v>
      </c>
      <c r="AX226" s="72">
        <f>IFERROR(IF(F224="IMD",0,INDEX('2023 OP UPL Data'!L:L,MATCH(A:A,'2023 OP UPL Data'!B:B,0))),0)</f>
        <v>2249692.2200000002</v>
      </c>
      <c r="AY226" s="45">
        <f t="shared" si="99"/>
        <v>7341144.4500000011</v>
      </c>
      <c r="AZ226" s="72">
        <v>9250807.668617513</v>
      </c>
      <c r="BA226" s="72">
        <v>4555432.7791756848</v>
      </c>
      <c r="BB226" s="72">
        <f t="shared" si="100"/>
        <v>5069661.1586666489</v>
      </c>
      <c r="BC226" s="72">
        <f t="shared" si="100"/>
        <v>2714745.9042295823</v>
      </c>
      <c r="BD226" s="72">
        <f t="shared" si="101"/>
        <v>7784407.0628962303</v>
      </c>
      <c r="BE226" s="94">
        <f t="shared" si="102"/>
        <v>4159355.4386175126</v>
      </c>
      <c r="BF226" s="94">
        <f t="shared" si="102"/>
        <v>2305740.5591756846</v>
      </c>
      <c r="BG226" s="73">
        <f>IFERROR(INDEX('2023 IP UPL Data'!K:K,MATCH(A226,'2023 IP UPL Data'!B:B,0)),0)</f>
        <v>0</v>
      </c>
    </row>
    <row r="227" spans="1:59" ht="25.5">
      <c r="A227" s="124" t="s">
        <v>1301</v>
      </c>
      <c r="B227" s="149" t="s">
        <v>1301</v>
      </c>
      <c r="C227" s="31" t="s">
        <v>1302</v>
      </c>
      <c r="D227" s="181" t="s">
        <v>1302</v>
      </c>
      <c r="E227" s="144" t="s">
        <v>3333</v>
      </c>
      <c r="F227" s="120" t="s">
        <v>3069</v>
      </c>
      <c r="G227" s="120" t="s">
        <v>227</v>
      </c>
      <c r="H227" s="43" t="str">
        <f t="shared" si="82"/>
        <v>Non-state-owned IMD MRSA West</v>
      </c>
      <c r="I227" s="45">
        <f>INDEX(FeeCalc!M:M,MATCH(C:C,FeeCalc!F:F,0))</f>
        <v>1451284.4245904956</v>
      </c>
      <c r="J227" s="45">
        <f>INDEX(FeeCalc!L:L,MATCH(C:C,FeeCalc!F:F,0))</f>
        <v>0</v>
      </c>
      <c r="K227" s="45">
        <f t="shared" si="83"/>
        <v>1451284.4245904956</v>
      </c>
      <c r="L227" s="45">
        <f>IFERROR(IFERROR(INDEX('2023 IP UPL Data'!N:N,MATCH(A:A,'2023 IP UPL Data'!B:B,0)),INDEX('2023 IMD UPL Data'!M:M,MATCH(A:A,'2023 IMD UPL Data'!B:B,0))),0)</f>
        <v>264612.47999999998</v>
      </c>
      <c r="M227" s="45">
        <f>IFERROR((IF(F227="IMD",0,INDEX('2023 OP UPL Data'!M:M,MATCH(A:A,'2023 OP UPL Data'!B:B,0)))),0)</f>
        <v>0</v>
      </c>
      <c r="N227" s="45">
        <f t="shared" si="84"/>
        <v>264612.47999999998</v>
      </c>
      <c r="O227" s="45">
        <v>1147343.7192390044</v>
      </c>
      <c r="P227" s="45">
        <v>0</v>
      </c>
      <c r="Q227" s="45">
        <f t="shared" si="85"/>
        <v>1147343.7192390044</v>
      </c>
      <c r="R227" s="45" t="str">
        <f t="shared" si="86"/>
        <v>Yes</v>
      </c>
      <c r="S227" s="46" t="str">
        <f t="shared" si="86"/>
        <v>No</v>
      </c>
      <c r="T227" s="47">
        <f>ROUND(INDEX(Summary!H:H,MATCH(H:H,Summary!A:A,0)),2)</f>
        <v>0.34</v>
      </c>
      <c r="U227" s="47">
        <f>ROUND(INDEX(Summary!I:I,MATCH(H:H,Summary!A:A,0)),2)</f>
        <v>0</v>
      </c>
      <c r="V227" s="85">
        <f t="shared" si="87"/>
        <v>493436.70436076855</v>
      </c>
      <c r="W227" s="85">
        <f t="shared" si="87"/>
        <v>0</v>
      </c>
      <c r="X227" s="45">
        <f t="shared" si="88"/>
        <v>493436.70436076855</v>
      </c>
      <c r="Y227" s="45" t="s">
        <v>3223</v>
      </c>
      <c r="Z227" s="45" t="str">
        <f t="shared" si="89"/>
        <v>No</v>
      </c>
      <c r="AA227" s="45" t="str">
        <f t="shared" si="89"/>
        <v>No</v>
      </c>
      <c r="AB227" s="45" t="str">
        <f t="shared" si="90"/>
        <v>Yes</v>
      </c>
      <c r="AC227" s="86">
        <f t="shared" si="103"/>
        <v>0.31</v>
      </c>
      <c r="AD227" s="86">
        <f t="shared" si="104"/>
        <v>0</v>
      </c>
      <c r="AE227" s="45">
        <f t="shared" si="105"/>
        <v>449898.17162305367</v>
      </c>
      <c r="AF227" s="45">
        <f t="shared" si="105"/>
        <v>0</v>
      </c>
      <c r="AG227" s="45">
        <f t="shared" si="91"/>
        <v>449898.17162305367</v>
      </c>
      <c r="AH227" s="47">
        <f>IF(Y227="No",0,IFERROR(ROUNDDOWN(INDEX('90% of ACR'!K:K,MATCH(H:H,'90% of ACR'!A:A,0))*IF(I227&gt;0,IF(O227&gt;0,$R$4*MAX(O227-V227,0),0),0)/I227,2),0))</f>
        <v>0</v>
      </c>
      <c r="AI227" s="86">
        <f>IF(Y227="No",0,IFERROR(ROUNDDOWN(INDEX('90% of ACR'!R:R,MATCH(H:H,'90% of ACR'!A:A,0))*IF(J227&gt;0,IF(P227&gt;0,$R$4*MAX(P227-W227,0),0),0)/J227,2),0))</f>
        <v>0</v>
      </c>
      <c r="AJ227" s="45">
        <f t="shared" si="92"/>
        <v>0</v>
      </c>
      <c r="AK227" s="45">
        <f t="shared" si="92"/>
        <v>0</v>
      </c>
      <c r="AL227" s="47">
        <f t="shared" si="93"/>
        <v>0.34</v>
      </c>
      <c r="AM227" s="47">
        <f t="shared" si="93"/>
        <v>0</v>
      </c>
      <c r="AN227" s="87">
        <f>IFERROR(INDEX(FeeCalc!P:P,MATCH(C227,FeeCalc!F:F,0)),0)</f>
        <v>493436.70436076855</v>
      </c>
      <c r="AO227" s="87">
        <f>IFERROR(INDEX(FeeCalc!S:S,MATCH(C227,FeeCalc!F:F,0)),0)</f>
        <v>30103.565518030977</v>
      </c>
      <c r="AP227" s="87">
        <f t="shared" si="94"/>
        <v>523540.2698787995</v>
      </c>
      <c r="AQ227" s="72">
        <f t="shared" si="95"/>
        <v>222154.88979821079</v>
      </c>
      <c r="AR227" s="72">
        <f t="shared" si="96"/>
        <v>111077.44489910539</v>
      </c>
      <c r="AS227" s="72">
        <f t="shared" si="97"/>
        <v>111077.44489910539</v>
      </c>
      <c r="AT227" s="72">
        <f>IFERROR(IFERROR(INDEX('2023 IP UPL Data'!L:L,MATCH(A:A,'2023 IP UPL Data'!B:B,0)),INDEX('2023 IMD UPL Data'!I:I,MATCH(A:A,'2023 IMD UPL Data'!B:B,0))),0)</f>
        <v>726363</v>
      </c>
      <c r="AU227" s="72">
        <f>IFERROR(IF(F225="IMD",0,INDEX('2023 OP UPL Data'!J:J,MATCH(A:A,'2023 OP UPL Data'!B:B,0))),0)</f>
        <v>0</v>
      </c>
      <c r="AV227" s="45">
        <f t="shared" si="98"/>
        <v>726363</v>
      </c>
      <c r="AW227" s="72">
        <f>IFERROR(IFERROR(INDEX('2023 IP UPL Data'!M:M,MATCH(A:A,'2023 IP UPL Data'!B:B,0)),INDEX('2023 IMD UPL Data'!K:K,MATCH(A:A,'2023 IMD UPL Data'!B:B,0))),0)</f>
        <v>264612.47999999998</v>
      </c>
      <c r="AX227" s="72">
        <f>IFERROR(IF(F225="IMD",0,INDEX('2023 OP UPL Data'!L:L,MATCH(A:A,'2023 OP UPL Data'!B:B,0))),0)</f>
        <v>0</v>
      </c>
      <c r="AY227" s="45">
        <f t="shared" si="99"/>
        <v>264612.47999999998</v>
      </c>
      <c r="AZ227" s="72">
        <v>1873706.7192390044</v>
      </c>
      <c r="BA227" s="72">
        <v>0</v>
      </c>
      <c r="BB227" s="72">
        <f t="shared" si="100"/>
        <v>1380270.0148782358</v>
      </c>
      <c r="BC227" s="72">
        <f t="shared" si="100"/>
        <v>0</v>
      </c>
      <c r="BD227" s="72">
        <f t="shared" si="101"/>
        <v>1380270.0148782358</v>
      </c>
      <c r="BE227" s="94">
        <f t="shared" si="102"/>
        <v>1609094.2392390044</v>
      </c>
      <c r="BF227" s="94">
        <f t="shared" si="102"/>
        <v>0</v>
      </c>
      <c r="BG227" s="73">
        <f>IFERROR(INDEX('2023 IP UPL Data'!K:K,MATCH(A227,'2023 IP UPL Data'!B:B,0)),0)</f>
        <v>0</v>
      </c>
    </row>
    <row r="228" spans="1:59" ht="25.5">
      <c r="A228" s="124" t="s">
        <v>1231</v>
      </c>
      <c r="B228" s="149" t="s">
        <v>1231</v>
      </c>
      <c r="C228" s="31" t="s">
        <v>1232</v>
      </c>
      <c r="D228" s="181" t="s">
        <v>1232</v>
      </c>
      <c r="E228" s="144" t="s">
        <v>3334</v>
      </c>
      <c r="F228" s="120" t="s">
        <v>3069</v>
      </c>
      <c r="G228" s="120" t="s">
        <v>300</v>
      </c>
      <c r="H228" s="43" t="str">
        <f t="shared" si="82"/>
        <v>Non-state-owned IMD Harris</v>
      </c>
      <c r="I228" s="45">
        <f>INDEX(FeeCalc!M:M,MATCH(C:C,FeeCalc!F:F,0))</f>
        <v>2562109.0754308351</v>
      </c>
      <c r="J228" s="45">
        <f>INDEX(FeeCalc!L:L,MATCH(C:C,FeeCalc!F:F,0))</f>
        <v>0</v>
      </c>
      <c r="K228" s="45">
        <f t="shared" si="83"/>
        <v>2562109.0754308351</v>
      </c>
      <c r="L228" s="45">
        <f>IFERROR(IFERROR(INDEX('2023 IP UPL Data'!N:N,MATCH(A:A,'2023 IP UPL Data'!B:B,0)),INDEX('2023 IMD UPL Data'!M:M,MATCH(A:A,'2023 IMD UPL Data'!B:B,0))),0)</f>
        <v>1210336.5</v>
      </c>
      <c r="M228" s="45">
        <f>IFERROR((IF(F228="IMD",0,INDEX('2023 OP UPL Data'!M:M,MATCH(A:A,'2023 OP UPL Data'!B:B,0)))),0)</f>
        <v>0</v>
      </c>
      <c r="N228" s="45">
        <f t="shared" si="84"/>
        <v>1210336.5</v>
      </c>
      <c r="O228" s="45">
        <v>1465852.0446382049</v>
      </c>
      <c r="P228" s="45">
        <v>0</v>
      </c>
      <c r="Q228" s="45">
        <f t="shared" si="85"/>
        <v>1465852.0446382049</v>
      </c>
      <c r="R228" s="45" t="str">
        <f t="shared" si="86"/>
        <v>Yes</v>
      </c>
      <c r="S228" s="46" t="str">
        <f t="shared" si="86"/>
        <v>No</v>
      </c>
      <c r="T228" s="47">
        <f>ROUND(INDEX(Summary!H:H,MATCH(H:H,Summary!A:A,0)),2)</f>
        <v>0.44</v>
      </c>
      <c r="U228" s="47">
        <f>ROUND(INDEX(Summary!I:I,MATCH(H:H,Summary!A:A,0)),2)</f>
        <v>0</v>
      </c>
      <c r="V228" s="85">
        <f t="shared" si="87"/>
        <v>1127327.9931895675</v>
      </c>
      <c r="W228" s="85">
        <f t="shared" si="87"/>
        <v>0</v>
      </c>
      <c r="X228" s="45">
        <f t="shared" si="88"/>
        <v>1127327.9931895675</v>
      </c>
      <c r="Y228" s="45" t="s">
        <v>3223</v>
      </c>
      <c r="Z228" s="45" t="str">
        <f t="shared" si="89"/>
        <v>No</v>
      </c>
      <c r="AA228" s="45" t="str">
        <f t="shared" si="89"/>
        <v>No</v>
      </c>
      <c r="AB228" s="45" t="str">
        <f t="shared" si="90"/>
        <v>Yes</v>
      </c>
      <c r="AC228" s="86">
        <f t="shared" si="103"/>
        <v>0.09</v>
      </c>
      <c r="AD228" s="86">
        <f t="shared" si="104"/>
        <v>0</v>
      </c>
      <c r="AE228" s="45">
        <f t="shared" si="105"/>
        <v>230589.81678877515</v>
      </c>
      <c r="AF228" s="45">
        <f t="shared" si="105"/>
        <v>0</v>
      </c>
      <c r="AG228" s="45">
        <f t="shared" si="91"/>
        <v>230589.81678877515</v>
      </c>
      <c r="AH228" s="47">
        <f>IF(Y228="No",0,IFERROR(ROUNDDOWN(INDEX('90% of ACR'!K:K,MATCH(H:H,'90% of ACR'!A:A,0))*IF(I228&gt;0,IF(O228&gt;0,$R$4*MAX(O228-V228,0),0),0)/I228,2),0))</f>
        <v>0</v>
      </c>
      <c r="AI228" s="86">
        <f>IF(Y228="No",0,IFERROR(ROUNDDOWN(INDEX('90% of ACR'!R:R,MATCH(H:H,'90% of ACR'!A:A,0))*IF(J228&gt;0,IF(P228&gt;0,$R$4*MAX(P228-W228,0),0),0)/J228,2),0))</f>
        <v>0</v>
      </c>
      <c r="AJ228" s="45">
        <f t="shared" si="92"/>
        <v>0</v>
      </c>
      <c r="AK228" s="45">
        <f t="shared" si="92"/>
        <v>0</v>
      </c>
      <c r="AL228" s="47">
        <f t="shared" si="93"/>
        <v>0.44</v>
      </c>
      <c r="AM228" s="47">
        <f t="shared" si="93"/>
        <v>0</v>
      </c>
      <c r="AN228" s="87">
        <f>IFERROR(INDEX(FeeCalc!P:P,MATCH(C228,FeeCalc!F:F,0)),0)</f>
        <v>1127327.9931895675</v>
      </c>
      <c r="AO228" s="87">
        <f>IFERROR(INDEX(FeeCalc!S:S,MATCH(C228,FeeCalc!F:F,0)),0)</f>
        <v>68775.978364350274</v>
      </c>
      <c r="AP228" s="87">
        <f t="shared" si="94"/>
        <v>1196103.9715539177</v>
      </c>
      <c r="AQ228" s="72">
        <f t="shared" si="95"/>
        <v>507545.19045741711</v>
      </c>
      <c r="AR228" s="72">
        <f t="shared" si="96"/>
        <v>253772.59522870855</v>
      </c>
      <c r="AS228" s="72">
        <f t="shared" si="97"/>
        <v>253772.59522870855</v>
      </c>
      <c r="AT228" s="72">
        <f>IFERROR(IFERROR(INDEX('2023 IP UPL Data'!L:L,MATCH(A:A,'2023 IP UPL Data'!B:B,0)),INDEX('2023 IMD UPL Data'!I:I,MATCH(A:A,'2023 IMD UPL Data'!B:B,0))),0)</f>
        <v>3335730.6</v>
      </c>
      <c r="AU228" s="72">
        <f>IFERROR(IF(F226="IMD",0,INDEX('2023 OP UPL Data'!J:J,MATCH(A:A,'2023 OP UPL Data'!B:B,0))),0)</f>
        <v>0</v>
      </c>
      <c r="AV228" s="45">
        <f t="shared" si="98"/>
        <v>3335730.6</v>
      </c>
      <c r="AW228" s="72">
        <f>IFERROR(IFERROR(INDEX('2023 IP UPL Data'!M:M,MATCH(A:A,'2023 IP UPL Data'!B:B,0)),INDEX('2023 IMD UPL Data'!K:K,MATCH(A:A,'2023 IMD UPL Data'!B:B,0))),0)</f>
        <v>1210336.5</v>
      </c>
      <c r="AX228" s="72">
        <f>IFERROR(IF(F226="IMD",0,INDEX('2023 OP UPL Data'!L:L,MATCH(A:A,'2023 OP UPL Data'!B:B,0))),0)</f>
        <v>0</v>
      </c>
      <c r="AY228" s="45">
        <f t="shared" si="99"/>
        <v>1210336.5</v>
      </c>
      <c r="AZ228" s="72">
        <v>4801582.6446382049</v>
      </c>
      <c r="BA228" s="72">
        <v>0</v>
      </c>
      <c r="BB228" s="72">
        <f t="shared" si="100"/>
        <v>3674254.6514486372</v>
      </c>
      <c r="BC228" s="72">
        <f t="shared" si="100"/>
        <v>0</v>
      </c>
      <c r="BD228" s="72">
        <f t="shared" si="101"/>
        <v>3674254.6514486372</v>
      </c>
      <c r="BE228" s="94">
        <f t="shared" si="102"/>
        <v>3591246.1446382049</v>
      </c>
      <c r="BF228" s="94">
        <f t="shared" si="102"/>
        <v>0</v>
      </c>
      <c r="BG228" s="73">
        <f>IFERROR(INDEX('2023 IP UPL Data'!K:K,MATCH(A228,'2023 IP UPL Data'!B:B,0)),0)</f>
        <v>0</v>
      </c>
    </row>
    <row r="229" spans="1:59" ht="25.5">
      <c r="A229" s="124" t="s">
        <v>1256</v>
      </c>
      <c r="B229" s="149" t="s">
        <v>1256</v>
      </c>
      <c r="C229" s="31" t="s">
        <v>1257</v>
      </c>
      <c r="D229" s="181" t="s">
        <v>1257</v>
      </c>
      <c r="E229" s="144" t="s">
        <v>3532</v>
      </c>
      <c r="F229" s="120" t="s">
        <v>3069</v>
      </c>
      <c r="G229" s="120" t="s">
        <v>223</v>
      </c>
      <c r="H229" s="43" t="str">
        <f t="shared" si="82"/>
        <v>Non-state-owned IMD Dallas</v>
      </c>
      <c r="I229" s="45">
        <f>INDEX(FeeCalc!M:M,MATCH(C:C,FeeCalc!F:F,0))</f>
        <v>1467977.6289127893</v>
      </c>
      <c r="J229" s="45">
        <f>INDEX(FeeCalc!L:L,MATCH(C:C,FeeCalc!F:F,0))</f>
        <v>0</v>
      </c>
      <c r="K229" s="45">
        <f t="shared" si="83"/>
        <v>1467977.6289127893</v>
      </c>
      <c r="L229" s="45">
        <f>IFERROR(IFERROR(INDEX('2023 IP UPL Data'!N:N,MATCH(A:A,'2023 IP UPL Data'!B:B,0)),INDEX('2023 IMD UPL Data'!M:M,MATCH(A:A,'2023 IMD UPL Data'!B:B,0))),0)</f>
        <v>0</v>
      </c>
      <c r="M229" s="45">
        <f>IFERROR((IF(F229="IMD",0,INDEX('2023 OP UPL Data'!M:M,MATCH(A:A,'2023 OP UPL Data'!B:B,0)))),0)</f>
        <v>0</v>
      </c>
      <c r="N229" s="45">
        <f t="shared" si="84"/>
        <v>0</v>
      </c>
      <c r="O229" s="45">
        <v>0</v>
      </c>
      <c r="P229" s="45">
        <v>0</v>
      </c>
      <c r="Q229" s="45">
        <f t="shared" si="85"/>
        <v>0</v>
      </c>
      <c r="R229" s="45" t="str">
        <f t="shared" si="86"/>
        <v>No</v>
      </c>
      <c r="S229" s="46" t="str">
        <f t="shared" si="86"/>
        <v>No</v>
      </c>
      <c r="T229" s="47">
        <f>ROUND(INDEX(Summary!H:H,MATCH(H:H,Summary!A:A,0)),2)</f>
        <v>0.03</v>
      </c>
      <c r="U229" s="47">
        <f>ROUND(INDEX(Summary!I:I,MATCH(H:H,Summary!A:A,0)),2)</f>
        <v>0</v>
      </c>
      <c r="V229" s="85">
        <f t="shared" si="87"/>
        <v>44039.32886738368</v>
      </c>
      <c r="W229" s="85">
        <f t="shared" si="87"/>
        <v>0</v>
      </c>
      <c r="X229" s="45">
        <f t="shared" si="88"/>
        <v>44039.32886738368</v>
      </c>
      <c r="Y229" s="45" t="s">
        <v>3223</v>
      </c>
      <c r="Z229" s="45" t="str">
        <f t="shared" si="89"/>
        <v>No</v>
      </c>
      <c r="AA229" s="45" t="str">
        <f t="shared" si="89"/>
        <v>No</v>
      </c>
      <c r="AB229" s="45" t="str">
        <f t="shared" si="90"/>
        <v>No</v>
      </c>
      <c r="AC229" s="86">
        <f t="shared" si="103"/>
        <v>0</v>
      </c>
      <c r="AD229" s="86">
        <f t="shared" si="104"/>
        <v>0</v>
      </c>
      <c r="AE229" s="45">
        <f t="shared" si="105"/>
        <v>0</v>
      </c>
      <c r="AF229" s="45">
        <f t="shared" si="105"/>
        <v>0</v>
      </c>
      <c r="AG229" s="45">
        <f t="shared" si="91"/>
        <v>0</v>
      </c>
      <c r="AH229" s="47">
        <f>IF(Y229="No",0,IFERROR(ROUNDDOWN(INDEX('90% of ACR'!K:K,MATCH(H:H,'90% of ACR'!A:A,0))*IF(I229&gt;0,IF(O229&gt;0,$R$4*MAX(O229-V229,0),0),0)/I229,2),0))</f>
        <v>0</v>
      </c>
      <c r="AI229" s="86">
        <f>IF(Y229="No",0,IFERROR(ROUNDDOWN(INDEX('90% of ACR'!R:R,MATCH(H:H,'90% of ACR'!A:A,0))*IF(J229&gt;0,IF(P229&gt;0,$R$4*MAX(P229-W229,0),0),0)/J229,2),0))</f>
        <v>0</v>
      </c>
      <c r="AJ229" s="45">
        <f t="shared" si="92"/>
        <v>0</v>
      </c>
      <c r="AK229" s="45">
        <f t="shared" si="92"/>
        <v>0</v>
      </c>
      <c r="AL229" s="47">
        <f t="shared" si="93"/>
        <v>0.03</v>
      </c>
      <c r="AM229" s="47">
        <f t="shared" si="93"/>
        <v>0</v>
      </c>
      <c r="AN229" s="87">
        <f>IFERROR(INDEX(FeeCalc!P:P,MATCH(C229,FeeCalc!F:F,0)),0)</f>
        <v>44039.32886738368</v>
      </c>
      <c r="AO229" s="87">
        <f>IFERROR(INDEX(FeeCalc!S:S,MATCH(C229,FeeCalc!F:F,0)),0)</f>
        <v>2686.7495064982086</v>
      </c>
      <c r="AP229" s="87">
        <f t="shared" si="94"/>
        <v>46726.078373881886</v>
      </c>
      <c r="AQ229" s="72">
        <f t="shared" si="95"/>
        <v>19827.370288546052</v>
      </c>
      <c r="AR229" s="72">
        <f t="shared" si="96"/>
        <v>9913.6851442730258</v>
      </c>
      <c r="AS229" s="72">
        <f t="shared" si="97"/>
        <v>9913.6851442730258</v>
      </c>
      <c r="AT229" s="72">
        <f>IFERROR(IFERROR(INDEX('2023 IP UPL Data'!L:L,MATCH(A:A,'2023 IP UPL Data'!B:B,0)),INDEX('2023 IMD UPL Data'!I:I,MATCH(A:A,'2023 IMD UPL Data'!B:B,0))),0)</f>
        <v>0</v>
      </c>
      <c r="AU229" s="72">
        <f>IFERROR(IF(F227="IMD",0,INDEX('2023 OP UPL Data'!J:J,MATCH(A:A,'2023 OP UPL Data'!B:B,0))),0)</f>
        <v>0</v>
      </c>
      <c r="AV229" s="45">
        <f t="shared" si="98"/>
        <v>0</v>
      </c>
      <c r="AW229" s="72">
        <f>IFERROR(IFERROR(INDEX('2023 IP UPL Data'!M:M,MATCH(A:A,'2023 IP UPL Data'!B:B,0)),INDEX('2023 IMD UPL Data'!K:K,MATCH(A:A,'2023 IMD UPL Data'!B:B,0))),0)</f>
        <v>0</v>
      </c>
      <c r="AX229" s="72">
        <f>IFERROR(IF(F227="IMD",0,INDEX('2023 OP UPL Data'!L:L,MATCH(A:A,'2023 OP UPL Data'!B:B,0))),0)</f>
        <v>0</v>
      </c>
      <c r="AY229" s="45">
        <f t="shared" si="99"/>
        <v>0</v>
      </c>
      <c r="AZ229" s="72">
        <v>0</v>
      </c>
      <c r="BA229" s="72">
        <v>0</v>
      </c>
      <c r="BB229" s="72">
        <f t="shared" si="100"/>
        <v>0</v>
      </c>
      <c r="BC229" s="72">
        <f t="shared" si="100"/>
        <v>0</v>
      </c>
      <c r="BD229" s="72">
        <f t="shared" si="101"/>
        <v>0</v>
      </c>
      <c r="BE229" s="94">
        <f t="shared" si="102"/>
        <v>0</v>
      </c>
      <c r="BF229" s="94">
        <f t="shared" si="102"/>
        <v>0</v>
      </c>
      <c r="BG229" s="73">
        <f>IFERROR(INDEX('2023 IP UPL Data'!K:K,MATCH(A229,'2023 IP UPL Data'!B:B,0)),0)</f>
        <v>0</v>
      </c>
    </row>
    <row r="230" spans="1:59">
      <c r="A230" s="124" t="s">
        <v>273</v>
      </c>
      <c r="B230" s="149" t="s">
        <v>273</v>
      </c>
      <c r="C230" s="31" t="s">
        <v>274</v>
      </c>
      <c r="D230" s="181" t="s">
        <v>274</v>
      </c>
      <c r="E230" s="144" t="s">
        <v>3325</v>
      </c>
      <c r="F230" s="120" t="s">
        <v>2718</v>
      </c>
      <c r="G230" s="120" t="s">
        <v>300</v>
      </c>
      <c r="H230" s="43" t="str">
        <f t="shared" si="82"/>
        <v>Urban Harris</v>
      </c>
      <c r="I230" s="45">
        <f>INDEX(FeeCalc!M:M,MATCH(C:C,FeeCalc!F:F,0))</f>
        <v>2224635.637300998</v>
      </c>
      <c r="J230" s="45">
        <f>INDEX(FeeCalc!L:L,MATCH(C:C,FeeCalc!F:F,0))</f>
        <v>2701134.8965096185</v>
      </c>
      <c r="K230" s="45">
        <f t="shared" si="83"/>
        <v>4925770.5338106165</v>
      </c>
      <c r="L230" s="45">
        <f>IFERROR(IFERROR(INDEX('2023 IP UPL Data'!N:N,MATCH(A:A,'2023 IP UPL Data'!B:B,0)),INDEX('2023 IMD UPL Data'!M:M,MATCH(A:A,'2023 IMD UPL Data'!B:B,0))),0)</f>
        <v>4083168.8948529409</v>
      </c>
      <c r="M230" s="45">
        <f>IFERROR((IF(F230="IMD",0,INDEX('2023 OP UPL Data'!M:M,MATCH(A:A,'2023 OP UPL Data'!B:B,0)))),0)</f>
        <v>1793476.495735294</v>
      </c>
      <c r="N230" s="45">
        <f t="shared" si="84"/>
        <v>5876645.3905882351</v>
      </c>
      <c r="O230" s="45">
        <v>12965890.582523817</v>
      </c>
      <c r="P230" s="45">
        <v>4974579.4163790941</v>
      </c>
      <c r="Q230" s="45">
        <f t="shared" si="85"/>
        <v>17940469.998902909</v>
      </c>
      <c r="R230" s="45" t="str">
        <f t="shared" si="86"/>
        <v>Yes</v>
      </c>
      <c r="S230" s="46" t="str">
        <f t="shared" si="86"/>
        <v>Yes</v>
      </c>
      <c r="T230" s="47">
        <f>ROUND(INDEX(Summary!H:H,MATCH(H:H,Summary!A:A,0)),2)</f>
        <v>2.59</v>
      </c>
      <c r="U230" s="47">
        <f>ROUND(INDEX(Summary!I:I,MATCH(H:H,Summary!A:A,0)),2)</f>
        <v>0.85</v>
      </c>
      <c r="V230" s="85">
        <f t="shared" si="87"/>
        <v>5761806.3006095849</v>
      </c>
      <c r="W230" s="85">
        <f t="shared" si="87"/>
        <v>2295964.6620331756</v>
      </c>
      <c r="X230" s="45">
        <f t="shared" si="88"/>
        <v>8057770.9626427609</v>
      </c>
      <c r="Y230" s="45" t="s">
        <v>3223</v>
      </c>
      <c r="Z230" s="45" t="str">
        <f t="shared" si="89"/>
        <v>No</v>
      </c>
      <c r="AA230" s="45" t="str">
        <f t="shared" si="89"/>
        <v>Yes</v>
      </c>
      <c r="AB230" s="45" t="str">
        <f t="shared" si="90"/>
        <v>Yes</v>
      </c>
      <c r="AC230" s="86">
        <f t="shared" si="103"/>
        <v>2.2599999999999998</v>
      </c>
      <c r="AD230" s="86">
        <f t="shared" si="104"/>
        <v>0.69</v>
      </c>
      <c r="AE230" s="45">
        <f t="shared" si="105"/>
        <v>5027676.5403002547</v>
      </c>
      <c r="AF230" s="45">
        <f t="shared" si="105"/>
        <v>1863783.0785916366</v>
      </c>
      <c r="AG230" s="45">
        <f t="shared" si="91"/>
        <v>6891459.6188918911</v>
      </c>
      <c r="AH230" s="47">
        <f>IF(Y230="No",0,IFERROR(ROUNDDOWN(INDEX('90% of ACR'!K:K,MATCH(H:H,'90% of ACR'!A:A,0))*IF(I230&gt;0,IF(O230&gt;0,$R$4*MAX(O230-V230,0),0),0)/I230,2),0))</f>
        <v>0</v>
      </c>
      <c r="AI230" s="86">
        <f>IF(Y230="No",0,IFERROR(ROUNDDOWN(INDEX('90% of ACR'!R:R,MATCH(H:H,'90% of ACR'!A:A,0))*IF(J230&gt;0,IF(P230&gt;0,$R$4*MAX(P230-W230,0),0),0)/J230,2),0))</f>
        <v>0.52</v>
      </c>
      <c r="AJ230" s="45">
        <f t="shared" si="92"/>
        <v>0</v>
      </c>
      <c r="AK230" s="45">
        <f t="shared" si="92"/>
        <v>1404590.1461850016</v>
      </c>
      <c r="AL230" s="47">
        <f t="shared" si="93"/>
        <v>2.59</v>
      </c>
      <c r="AM230" s="47">
        <f t="shared" si="93"/>
        <v>1.37</v>
      </c>
      <c r="AN230" s="87">
        <f>IFERROR(INDEX(FeeCalc!P:P,MATCH(C230,FeeCalc!F:F,0)),0)</f>
        <v>9462361.1088277623</v>
      </c>
      <c r="AO230" s="87">
        <f>IFERROR(INDEX(FeeCalc!S:S,MATCH(C230,FeeCalc!F:F,0)),0)</f>
        <v>584805.52426239976</v>
      </c>
      <c r="AP230" s="87">
        <f t="shared" si="94"/>
        <v>10047166.633090163</v>
      </c>
      <c r="AQ230" s="72">
        <f t="shared" si="95"/>
        <v>4263334.3117524153</v>
      </c>
      <c r="AR230" s="72">
        <f t="shared" si="96"/>
        <v>2131667.1558762076</v>
      </c>
      <c r="AS230" s="72">
        <f t="shared" si="97"/>
        <v>2131667.1558762076</v>
      </c>
      <c r="AT230" s="72">
        <f>IFERROR(IFERROR(INDEX('2023 IP UPL Data'!L:L,MATCH(A:A,'2023 IP UPL Data'!B:B,0)),INDEX('2023 IMD UPL Data'!I:I,MATCH(A:A,'2023 IMD UPL Data'!B:B,0))),0)</f>
        <v>2431618.3051470593</v>
      </c>
      <c r="AU230" s="72">
        <f>IFERROR(IF(F228="IMD",0,INDEX('2023 OP UPL Data'!J:J,MATCH(A:A,'2023 OP UPL Data'!B:B,0))),0)</f>
        <v>1900003.4742647063</v>
      </c>
      <c r="AV230" s="45">
        <f t="shared" si="98"/>
        <v>4331621.7794117657</v>
      </c>
      <c r="AW230" s="72">
        <f>IFERROR(IFERROR(INDEX('2023 IP UPL Data'!M:M,MATCH(A:A,'2023 IP UPL Data'!B:B,0)),INDEX('2023 IMD UPL Data'!K:K,MATCH(A:A,'2023 IMD UPL Data'!B:B,0))),0)</f>
        <v>6514787.2000000002</v>
      </c>
      <c r="AX230" s="72">
        <f>IFERROR(IF(F228="IMD",0,INDEX('2023 OP UPL Data'!L:L,MATCH(A:A,'2023 OP UPL Data'!B:B,0))),0)</f>
        <v>3693479.97</v>
      </c>
      <c r="AY230" s="45">
        <f t="shared" si="99"/>
        <v>10208267.17</v>
      </c>
      <c r="AZ230" s="72">
        <v>15397508.887670876</v>
      </c>
      <c r="BA230" s="72">
        <v>6874582.8906438006</v>
      </c>
      <c r="BB230" s="72">
        <f t="shared" si="100"/>
        <v>9635702.5870612916</v>
      </c>
      <c r="BC230" s="72">
        <f t="shared" si="100"/>
        <v>4578618.2286106255</v>
      </c>
      <c r="BD230" s="72">
        <f t="shared" si="101"/>
        <v>14214320.815671915</v>
      </c>
      <c r="BE230" s="94">
        <f t="shared" si="102"/>
        <v>8882721.6876708753</v>
      </c>
      <c r="BF230" s="94">
        <f t="shared" si="102"/>
        <v>3181102.9206438004</v>
      </c>
      <c r="BG230" s="73">
        <f>IFERROR(INDEX('2023 IP UPL Data'!K:K,MATCH(A230,'2023 IP UPL Data'!B:B,0)),0)</f>
        <v>0</v>
      </c>
    </row>
    <row r="231" spans="1:59">
      <c r="A231" s="124" t="s">
        <v>344</v>
      </c>
      <c r="B231" s="149" t="s">
        <v>344</v>
      </c>
      <c r="C231" s="31" t="s">
        <v>345</v>
      </c>
      <c r="D231" s="181" t="s">
        <v>345</v>
      </c>
      <c r="E231" s="144" t="s">
        <v>3110</v>
      </c>
      <c r="F231" s="120" t="s">
        <v>2768</v>
      </c>
      <c r="G231" s="120" t="s">
        <v>310</v>
      </c>
      <c r="H231" s="43" t="str">
        <f t="shared" si="82"/>
        <v>Rural MRSA Northeast</v>
      </c>
      <c r="I231" s="45">
        <f>INDEX(FeeCalc!M:M,MATCH(C:C,FeeCalc!F:F,0))</f>
        <v>8105.789890360099</v>
      </c>
      <c r="J231" s="45">
        <f>INDEX(FeeCalc!L:L,MATCH(C:C,FeeCalc!F:F,0))</f>
        <v>331437.02735989686</v>
      </c>
      <c r="K231" s="45">
        <f t="shared" si="83"/>
        <v>339542.81725025695</v>
      </c>
      <c r="L231" s="45">
        <f>IFERROR(IFERROR(INDEX('2023 IP UPL Data'!N:N,MATCH(A:A,'2023 IP UPL Data'!B:B,0)),INDEX('2023 IMD UPL Data'!M:M,MATCH(A:A,'2023 IMD UPL Data'!B:B,0))),0)</f>
        <v>0</v>
      </c>
      <c r="M231" s="45">
        <f>IFERROR((IF(F231="IMD",0,INDEX('2023 OP UPL Data'!M:M,MATCH(A:A,'2023 OP UPL Data'!B:B,0)))),0)</f>
        <v>-11120.366666666669</v>
      </c>
      <c r="N231" s="45">
        <f t="shared" si="84"/>
        <v>-11120.366666666669</v>
      </c>
      <c r="O231" s="45">
        <v>0</v>
      </c>
      <c r="P231" s="45">
        <v>61475.890023064538</v>
      </c>
      <c r="Q231" s="45">
        <f t="shared" si="85"/>
        <v>61475.890023064538</v>
      </c>
      <c r="R231" s="45" t="str">
        <f t="shared" si="86"/>
        <v>No</v>
      </c>
      <c r="S231" s="46" t="str">
        <f t="shared" si="86"/>
        <v>Yes</v>
      </c>
      <c r="T231" s="47">
        <f>ROUND(INDEX(Summary!H:H,MATCH(H:H,Summary!A:A,0)),2)</f>
        <v>0.16</v>
      </c>
      <c r="U231" s="47">
        <f>ROUND(INDEX(Summary!I:I,MATCH(H:H,Summary!A:A,0)),2)</f>
        <v>0.42</v>
      </c>
      <c r="V231" s="85">
        <f t="shared" si="87"/>
        <v>1296.9263824576158</v>
      </c>
      <c r="W231" s="85">
        <f t="shared" si="87"/>
        <v>139203.55149115669</v>
      </c>
      <c r="X231" s="45">
        <f t="shared" si="88"/>
        <v>140500.47787361429</v>
      </c>
      <c r="Y231" s="45" t="s">
        <v>3223</v>
      </c>
      <c r="Z231" s="45" t="str">
        <f t="shared" si="89"/>
        <v>No</v>
      </c>
      <c r="AA231" s="45" t="str">
        <f t="shared" si="89"/>
        <v>No</v>
      </c>
      <c r="AB231" s="45" t="str">
        <f t="shared" si="90"/>
        <v>No</v>
      </c>
      <c r="AC231" s="86">
        <f t="shared" si="103"/>
        <v>0</v>
      </c>
      <c r="AD231" s="86">
        <f t="shared" si="104"/>
        <v>0</v>
      </c>
      <c r="AE231" s="45">
        <f t="shared" si="105"/>
        <v>0</v>
      </c>
      <c r="AF231" s="45">
        <f t="shared" si="105"/>
        <v>0</v>
      </c>
      <c r="AG231" s="45">
        <f t="shared" si="91"/>
        <v>0</v>
      </c>
      <c r="AH231" s="47">
        <f>IF(Y231="No",0,IFERROR(ROUNDDOWN(INDEX('90% of ACR'!K:K,MATCH(H:H,'90% of ACR'!A:A,0))*IF(I231&gt;0,IF(O231&gt;0,$R$4*MAX(O231-V231,0),0),0)/I231,2),0))</f>
        <v>0</v>
      </c>
      <c r="AI231" s="86">
        <f>IF(Y231="No",0,IFERROR(ROUNDDOWN(INDEX('90% of ACR'!R:R,MATCH(H:H,'90% of ACR'!A:A,0))*IF(J231&gt;0,IF(P231&gt;0,$R$4*MAX(P231-W231,0),0),0)/J231,2),0))</f>
        <v>0</v>
      </c>
      <c r="AJ231" s="45">
        <f t="shared" si="92"/>
        <v>0</v>
      </c>
      <c r="AK231" s="45">
        <f t="shared" si="92"/>
        <v>0</v>
      </c>
      <c r="AL231" s="47">
        <f t="shared" si="93"/>
        <v>0.16</v>
      </c>
      <c r="AM231" s="47">
        <f t="shared" si="93"/>
        <v>0.42</v>
      </c>
      <c r="AN231" s="87">
        <f>IFERROR(INDEX(FeeCalc!P:P,MATCH(C231,FeeCalc!F:F,0)),0)</f>
        <v>140500.47787361429</v>
      </c>
      <c r="AO231" s="87">
        <f>IFERROR(INDEX(FeeCalc!S:S,MATCH(C231,FeeCalc!F:F,0)),0)</f>
        <v>8695.0226226401537</v>
      </c>
      <c r="AP231" s="87">
        <f t="shared" si="94"/>
        <v>149195.50049625445</v>
      </c>
      <c r="AQ231" s="72">
        <f t="shared" si="95"/>
        <v>63308.425116576655</v>
      </c>
      <c r="AR231" s="72">
        <f t="shared" si="96"/>
        <v>31654.212558288327</v>
      </c>
      <c r="AS231" s="72">
        <f t="shared" si="97"/>
        <v>31654.212558288327</v>
      </c>
      <c r="AT231" s="72">
        <f>IFERROR(IFERROR(INDEX('2023 IP UPL Data'!L:L,MATCH(A:A,'2023 IP UPL Data'!B:B,0)),INDEX('2023 IMD UPL Data'!I:I,MATCH(A:A,'2023 IMD UPL Data'!B:B,0))),0)</f>
        <v>0</v>
      </c>
      <c r="AU231" s="72">
        <f>IFERROR(IF(F229="IMD",0,INDEX('2023 OP UPL Data'!J:J,MATCH(A:A,'2023 OP UPL Data'!B:B,0))),0)</f>
        <v>119539.54666666666</v>
      </c>
      <c r="AV231" s="45">
        <f t="shared" si="98"/>
        <v>119539.54666666666</v>
      </c>
      <c r="AW231" s="72">
        <f>IFERROR(IFERROR(INDEX('2023 IP UPL Data'!M:M,MATCH(A:A,'2023 IP UPL Data'!B:B,0)),INDEX('2023 IMD UPL Data'!K:K,MATCH(A:A,'2023 IMD UPL Data'!B:B,0))),0)</f>
        <v>0</v>
      </c>
      <c r="AX231" s="72">
        <f>IFERROR(IF(F229="IMD",0,INDEX('2023 OP UPL Data'!L:L,MATCH(A:A,'2023 OP UPL Data'!B:B,0))),0)</f>
        <v>108419.18</v>
      </c>
      <c r="AY231" s="45">
        <f t="shared" si="99"/>
        <v>108419.18</v>
      </c>
      <c r="AZ231" s="72">
        <v>0</v>
      </c>
      <c r="BA231" s="72">
        <v>181015.4366897312</v>
      </c>
      <c r="BB231" s="72">
        <f t="shared" si="100"/>
        <v>0</v>
      </c>
      <c r="BC231" s="72">
        <f t="shared" si="100"/>
        <v>41811.885198574513</v>
      </c>
      <c r="BD231" s="72">
        <f t="shared" si="101"/>
        <v>40514.958816116909</v>
      </c>
      <c r="BE231" s="94">
        <f t="shared" si="102"/>
        <v>0</v>
      </c>
      <c r="BF231" s="94">
        <f t="shared" si="102"/>
        <v>72596.256689731206</v>
      </c>
      <c r="BG231" s="73">
        <f>IFERROR(INDEX('2023 IP UPL Data'!K:K,MATCH(A231,'2023 IP UPL Data'!B:B,0)),0)</f>
        <v>0</v>
      </c>
    </row>
    <row r="232" spans="1:59">
      <c r="A232" s="124" t="s">
        <v>258</v>
      </c>
      <c r="B232" s="149" t="s">
        <v>258</v>
      </c>
      <c r="C232" s="31" t="s">
        <v>259</v>
      </c>
      <c r="D232" s="181" t="s">
        <v>259</v>
      </c>
      <c r="E232" s="144" t="s">
        <v>3330</v>
      </c>
      <c r="F232" s="120" t="s">
        <v>2718</v>
      </c>
      <c r="G232" s="120" t="s">
        <v>300</v>
      </c>
      <c r="H232" s="43" t="str">
        <f t="shared" si="82"/>
        <v>Urban Harris</v>
      </c>
      <c r="I232" s="45">
        <f>INDEX(FeeCalc!M:M,MATCH(C:C,FeeCalc!F:F,0))</f>
        <v>930032.10386252985</v>
      </c>
      <c r="J232" s="45">
        <f>INDEX(FeeCalc!L:L,MATCH(C:C,FeeCalc!F:F,0))</f>
        <v>1130073.8928800339</v>
      </c>
      <c r="K232" s="45">
        <f t="shared" si="83"/>
        <v>2060105.9967425638</v>
      </c>
      <c r="L232" s="45">
        <f>IFERROR(IFERROR(INDEX('2023 IP UPL Data'!N:N,MATCH(A:A,'2023 IP UPL Data'!B:B,0)),INDEX('2023 IMD UPL Data'!M:M,MATCH(A:A,'2023 IMD UPL Data'!B:B,0))),0)</f>
        <v>1968874.6807352938</v>
      </c>
      <c r="M232" s="45">
        <f>IFERROR((IF(F232="IMD",0,INDEX('2023 OP UPL Data'!M:M,MATCH(A:A,'2023 OP UPL Data'!B:B,0)))),0)</f>
        <v>613972.14808823518</v>
      </c>
      <c r="N232" s="45">
        <f t="shared" si="84"/>
        <v>2582846.8288235292</v>
      </c>
      <c r="O232" s="45">
        <v>6698054.9175343681</v>
      </c>
      <c r="P232" s="45">
        <v>1998057.7660688395</v>
      </c>
      <c r="Q232" s="45">
        <f t="shared" si="85"/>
        <v>8696112.6836032085</v>
      </c>
      <c r="R232" s="45" t="str">
        <f t="shared" si="86"/>
        <v>Yes</v>
      </c>
      <c r="S232" s="46" t="str">
        <f t="shared" si="86"/>
        <v>Yes</v>
      </c>
      <c r="T232" s="47">
        <f>ROUND(INDEX(Summary!H:H,MATCH(H:H,Summary!A:A,0)),2)</f>
        <v>2.59</v>
      </c>
      <c r="U232" s="47">
        <f>ROUND(INDEX(Summary!I:I,MATCH(H:H,Summary!A:A,0)),2)</f>
        <v>0.85</v>
      </c>
      <c r="V232" s="85">
        <f t="shared" si="87"/>
        <v>2408783.1490039523</v>
      </c>
      <c r="W232" s="85">
        <f t="shared" si="87"/>
        <v>960562.80894802883</v>
      </c>
      <c r="X232" s="45">
        <f t="shared" si="88"/>
        <v>3369345.9579519811</v>
      </c>
      <c r="Y232" s="45" t="s">
        <v>3223</v>
      </c>
      <c r="Z232" s="45" t="str">
        <f t="shared" si="89"/>
        <v>No</v>
      </c>
      <c r="AA232" s="45" t="str">
        <f t="shared" si="89"/>
        <v>Yes</v>
      </c>
      <c r="AB232" s="45" t="str">
        <f t="shared" si="90"/>
        <v>Yes</v>
      </c>
      <c r="AC232" s="86">
        <f t="shared" si="103"/>
        <v>3.21</v>
      </c>
      <c r="AD232" s="86">
        <f t="shared" si="104"/>
        <v>0.64</v>
      </c>
      <c r="AE232" s="45">
        <f t="shared" si="105"/>
        <v>2985403.0533987209</v>
      </c>
      <c r="AF232" s="45">
        <f t="shared" si="105"/>
        <v>723247.29144322174</v>
      </c>
      <c r="AG232" s="45">
        <f t="shared" si="91"/>
        <v>3708650.3448419427</v>
      </c>
      <c r="AH232" s="47">
        <f>IF(Y232="No",0,IFERROR(ROUNDDOWN(INDEX('90% of ACR'!K:K,MATCH(H:H,'90% of ACR'!A:A,0))*IF(I232&gt;0,IF(O232&gt;0,$R$4*MAX(O232-V232,0),0),0)/I232,2),0))</f>
        <v>0</v>
      </c>
      <c r="AI232" s="86">
        <f>IF(Y232="No",0,IFERROR(ROUNDDOWN(INDEX('90% of ACR'!R:R,MATCH(H:H,'90% of ACR'!A:A,0))*IF(J232&gt;0,IF(P232&gt;0,$R$4*MAX(P232-W232,0),0),0)/J232,2),0))</f>
        <v>0.48</v>
      </c>
      <c r="AJ232" s="45">
        <f t="shared" si="92"/>
        <v>0</v>
      </c>
      <c r="AK232" s="45">
        <f t="shared" si="92"/>
        <v>542435.4685824163</v>
      </c>
      <c r="AL232" s="47">
        <f t="shared" si="93"/>
        <v>2.59</v>
      </c>
      <c r="AM232" s="47">
        <f t="shared" si="93"/>
        <v>1.33</v>
      </c>
      <c r="AN232" s="87">
        <f>IFERROR(INDEX(FeeCalc!P:P,MATCH(C232,FeeCalc!F:F,0)),0)</f>
        <v>3911781.4265343975</v>
      </c>
      <c r="AO232" s="87">
        <f>IFERROR(INDEX(FeeCalc!S:S,MATCH(C232,FeeCalc!F:F,0)),0)</f>
        <v>243060.58599362709</v>
      </c>
      <c r="AP232" s="87">
        <f t="shared" si="94"/>
        <v>4154842.0125280246</v>
      </c>
      <c r="AQ232" s="72">
        <f t="shared" si="95"/>
        <v>1763032.4208600419</v>
      </c>
      <c r="AR232" s="72">
        <f t="shared" si="96"/>
        <v>881516.21043002093</v>
      </c>
      <c r="AS232" s="72">
        <f t="shared" si="97"/>
        <v>881516.21043002093</v>
      </c>
      <c r="AT232" s="72">
        <f>IFERROR(IFERROR(INDEX('2023 IP UPL Data'!L:L,MATCH(A:A,'2023 IP UPL Data'!B:B,0)),INDEX('2023 IMD UPL Data'!I:I,MATCH(A:A,'2023 IMD UPL Data'!B:B,0))),0)</f>
        <v>818317.34926470602</v>
      </c>
      <c r="AU232" s="72">
        <f>IFERROR(IF(F230="IMD",0,INDEX('2023 OP UPL Data'!J:J,MATCH(A:A,'2023 OP UPL Data'!B:B,0))),0)</f>
        <v>857398.84191176482</v>
      </c>
      <c r="AV232" s="45">
        <f t="shared" si="98"/>
        <v>1675716.1911764708</v>
      </c>
      <c r="AW232" s="72">
        <f>IFERROR(IFERROR(INDEX('2023 IP UPL Data'!M:M,MATCH(A:A,'2023 IP UPL Data'!B:B,0)),INDEX('2023 IMD UPL Data'!K:K,MATCH(A:A,'2023 IMD UPL Data'!B:B,0))),0)</f>
        <v>2787192.03</v>
      </c>
      <c r="AX232" s="72">
        <f>IFERROR(IF(F230="IMD",0,INDEX('2023 OP UPL Data'!L:L,MATCH(A:A,'2023 OP UPL Data'!B:B,0))),0)</f>
        <v>1471370.99</v>
      </c>
      <c r="AY232" s="45">
        <f t="shared" si="99"/>
        <v>4258563.0199999996</v>
      </c>
      <c r="AZ232" s="72">
        <v>7516372.2667990737</v>
      </c>
      <c r="BA232" s="72">
        <v>2855456.6079806043</v>
      </c>
      <c r="BB232" s="72">
        <f t="shared" si="100"/>
        <v>5107589.1177951209</v>
      </c>
      <c r="BC232" s="72">
        <f t="shared" si="100"/>
        <v>1894893.7990325755</v>
      </c>
      <c r="BD232" s="72">
        <f t="shared" si="101"/>
        <v>7002482.9168276973</v>
      </c>
      <c r="BE232" s="94">
        <f t="shared" si="102"/>
        <v>4729180.2367990743</v>
      </c>
      <c r="BF232" s="94">
        <f t="shared" si="102"/>
        <v>1384085.6179806043</v>
      </c>
      <c r="BG232" s="73">
        <f>IFERROR(INDEX('2023 IP UPL Data'!K:K,MATCH(A232,'2023 IP UPL Data'!B:B,0)),0)</f>
        <v>0</v>
      </c>
    </row>
    <row r="233" spans="1:59">
      <c r="A233" s="124" t="s">
        <v>497</v>
      </c>
      <c r="B233" s="149" t="s">
        <v>497</v>
      </c>
      <c r="C233" s="31" t="s">
        <v>498</v>
      </c>
      <c r="D233" s="181" t="s">
        <v>498</v>
      </c>
      <c r="E233" s="144" t="s">
        <v>3371</v>
      </c>
      <c r="F233" s="120" t="s">
        <v>2768</v>
      </c>
      <c r="G233" s="120" t="s">
        <v>227</v>
      </c>
      <c r="H233" s="43" t="str">
        <f t="shared" si="82"/>
        <v>Rural MRSA West</v>
      </c>
      <c r="I233" s="45">
        <f>INDEX(FeeCalc!M:M,MATCH(C:C,FeeCalc!F:F,0))</f>
        <v>1489325.2209784556</v>
      </c>
      <c r="J233" s="45">
        <f>INDEX(FeeCalc!L:L,MATCH(C:C,FeeCalc!F:F,0))</f>
        <v>1834492.7736749954</v>
      </c>
      <c r="K233" s="45">
        <f t="shared" si="83"/>
        <v>3323817.9946534513</v>
      </c>
      <c r="L233" s="45">
        <f>IFERROR(IFERROR(INDEX('2023 IP UPL Data'!N:N,MATCH(A:A,'2023 IP UPL Data'!B:B,0)),INDEX('2023 IMD UPL Data'!M:M,MATCH(A:A,'2023 IMD UPL Data'!B:B,0))),0)</f>
        <v>16146.582730845315</v>
      </c>
      <c r="M233" s="45">
        <f>IFERROR((IF(F233="IMD",0,INDEX('2023 OP UPL Data'!M:M,MATCH(A:A,'2023 OP UPL Data'!B:B,0)))),0)</f>
        <v>94278.280749999918</v>
      </c>
      <c r="N233" s="45">
        <f t="shared" si="84"/>
        <v>110424.86348084523</v>
      </c>
      <c r="O233" s="45">
        <v>-565316.41141428507</v>
      </c>
      <c r="P233" s="45">
        <v>334255.8618388942</v>
      </c>
      <c r="Q233" s="45">
        <f t="shared" si="85"/>
        <v>-231060.54957539088</v>
      </c>
      <c r="R233" s="45" t="str">
        <f t="shared" si="86"/>
        <v>No</v>
      </c>
      <c r="S233" s="46" t="str">
        <f t="shared" si="86"/>
        <v>Yes</v>
      </c>
      <c r="T233" s="47">
        <f>ROUND(INDEX(Summary!H:H,MATCH(H:H,Summary!A:A,0)),2)</f>
        <v>0</v>
      </c>
      <c r="U233" s="47">
        <f>ROUND(INDEX(Summary!I:I,MATCH(H:H,Summary!A:A,0)),2)</f>
        <v>0.28999999999999998</v>
      </c>
      <c r="V233" s="85">
        <f t="shared" si="87"/>
        <v>0</v>
      </c>
      <c r="W233" s="85">
        <f t="shared" si="87"/>
        <v>532002.90436574863</v>
      </c>
      <c r="X233" s="45">
        <f t="shared" si="88"/>
        <v>532002.90436574863</v>
      </c>
      <c r="Y233" s="45" t="s">
        <v>3223</v>
      </c>
      <c r="Z233" s="45" t="str">
        <f t="shared" si="89"/>
        <v>No</v>
      </c>
      <c r="AA233" s="45" t="str">
        <f t="shared" si="89"/>
        <v>No</v>
      </c>
      <c r="AB233" s="45" t="str">
        <f t="shared" si="90"/>
        <v>No</v>
      </c>
      <c r="AC233" s="86">
        <f t="shared" si="103"/>
        <v>0</v>
      </c>
      <c r="AD233" s="86">
        <f t="shared" si="104"/>
        <v>0</v>
      </c>
      <c r="AE233" s="45">
        <f t="shared" si="105"/>
        <v>0</v>
      </c>
      <c r="AF233" s="45">
        <f t="shared" si="105"/>
        <v>0</v>
      </c>
      <c r="AG233" s="45">
        <f t="shared" si="91"/>
        <v>0</v>
      </c>
      <c r="AH233" s="47">
        <f>IF(Y233="No",0,IFERROR(ROUNDDOWN(INDEX('90% of ACR'!K:K,MATCH(H:H,'90% of ACR'!A:A,0))*IF(I233&gt;0,IF(O233&gt;0,$R$4*MAX(O233-V233,0),0),0)/I233,2),0))</f>
        <v>0</v>
      </c>
      <c r="AI233" s="86">
        <f>IF(Y233="No",0,IFERROR(ROUNDDOWN(INDEX('90% of ACR'!R:R,MATCH(H:H,'90% of ACR'!A:A,0))*IF(J233&gt;0,IF(P233&gt;0,$R$4*MAX(P233-W233,0),0),0)/J233,2),0))</f>
        <v>0</v>
      </c>
      <c r="AJ233" s="45">
        <f t="shared" si="92"/>
        <v>0</v>
      </c>
      <c r="AK233" s="45">
        <f t="shared" si="92"/>
        <v>0</v>
      </c>
      <c r="AL233" s="47">
        <f t="shared" si="93"/>
        <v>0</v>
      </c>
      <c r="AM233" s="47">
        <f t="shared" si="93"/>
        <v>0.28999999999999998</v>
      </c>
      <c r="AN233" s="87">
        <f>IFERROR(INDEX(FeeCalc!P:P,MATCH(C233,FeeCalc!F:F,0)),0)</f>
        <v>532002.90436574863</v>
      </c>
      <c r="AO233" s="87">
        <f>IFERROR(INDEX(FeeCalc!S:S,MATCH(C233,FeeCalc!F:F,0)),0)</f>
        <v>32622.786964699157</v>
      </c>
      <c r="AP233" s="87">
        <f t="shared" si="94"/>
        <v>564625.69133044779</v>
      </c>
      <c r="AQ233" s="72">
        <f t="shared" si="95"/>
        <v>239588.74885363161</v>
      </c>
      <c r="AR233" s="72">
        <f t="shared" si="96"/>
        <v>119794.3744268158</v>
      </c>
      <c r="AS233" s="72">
        <f t="shared" si="97"/>
        <v>119794.3744268158</v>
      </c>
      <c r="AT233" s="72">
        <f>IFERROR(IFERROR(INDEX('2023 IP UPL Data'!L:L,MATCH(A:A,'2023 IP UPL Data'!B:B,0)),INDEX('2023 IMD UPL Data'!I:I,MATCH(A:A,'2023 IMD UPL Data'!B:B,0))),0)</f>
        <v>1085073.5772691546</v>
      </c>
      <c r="AU233" s="72">
        <f>IFERROR(IF(F231="IMD",0,INDEX('2023 OP UPL Data'!J:J,MATCH(A:A,'2023 OP UPL Data'!B:B,0))),0)</f>
        <v>554686.71925000008</v>
      </c>
      <c r="AV233" s="45">
        <f t="shared" si="98"/>
        <v>1639760.2965191547</v>
      </c>
      <c r="AW233" s="72">
        <f>IFERROR(IFERROR(INDEX('2023 IP UPL Data'!M:M,MATCH(A:A,'2023 IP UPL Data'!B:B,0)),INDEX('2023 IMD UPL Data'!K:K,MATCH(A:A,'2023 IMD UPL Data'!B:B,0))),0)</f>
        <v>1101220.1599999999</v>
      </c>
      <c r="AX233" s="72">
        <f>IFERROR(IF(F231="IMD",0,INDEX('2023 OP UPL Data'!L:L,MATCH(A:A,'2023 OP UPL Data'!B:B,0))),0)</f>
        <v>648965</v>
      </c>
      <c r="AY233" s="45">
        <f t="shared" si="99"/>
        <v>1750185.16</v>
      </c>
      <c r="AZ233" s="72">
        <v>519757.16585486953</v>
      </c>
      <c r="BA233" s="72">
        <v>888942.58108889428</v>
      </c>
      <c r="BB233" s="72">
        <f t="shared" si="100"/>
        <v>519757.16585486953</v>
      </c>
      <c r="BC233" s="72">
        <f t="shared" si="100"/>
        <v>356939.67672314565</v>
      </c>
      <c r="BD233" s="72">
        <f t="shared" si="101"/>
        <v>876696.84257801529</v>
      </c>
      <c r="BE233" s="94">
        <f t="shared" si="102"/>
        <v>0</v>
      </c>
      <c r="BF233" s="94">
        <f t="shared" si="102"/>
        <v>239977.58108889428</v>
      </c>
      <c r="BG233" s="73">
        <f>IFERROR(INDEX('2023 IP UPL Data'!K:K,MATCH(A233,'2023 IP UPL Data'!B:B,0)),0)</f>
        <v>0</v>
      </c>
    </row>
    <row r="234" spans="1:59">
      <c r="A234" s="124" t="s">
        <v>1137</v>
      </c>
      <c r="B234" s="149" t="s">
        <v>1137</v>
      </c>
      <c r="C234" s="31" t="s">
        <v>1138</v>
      </c>
      <c r="D234" s="181" t="s">
        <v>1138</v>
      </c>
      <c r="E234" s="144" t="s">
        <v>3329</v>
      </c>
      <c r="F234" s="120" t="s">
        <v>2718</v>
      </c>
      <c r="G234" s="120" t="s">
        <v>300</v>
      </c>
      <c r="H234" s="43" t="str">
        <f t="shared" si="82"/>
        <v>Urban Harris</v>
      </c>
      <c r="I234" s="45">
        <f>INDEX(FeeCalc!M:M,MATCH(C:C,FeeCalc!F:F,0))</f>
        <v>6750391.4844644144</v>
      </c>
      <c r="J234" s="45">
        <f>INDEX(FeeCalc!L:L,MATCH(C:C,FeeCalc!F:F,0))</f>
        <v>6139381.5202141255</v>
      </c>
      <c r="K234" s="45">
        <f t="shared" si="83"/>
        <v>12889773.00467854</v>
      </c>
      <c r="L234" s="45">
        <f>IFERROR(IFERROR(INDEX('2023 IP UPL Data'!N:N,MATCH(A:A,'2023 IP UPL Data'!B:B,0)),INDEX('2023 IMD UPL Data'!M:M,MATCH(A:A,'2023 IMD UPL Data'!B:B,0))),0)</f>
        <v>16517939.789264709</v>
      </c>
      <c r="M234" s="45">
        <f>IFERROR((IF(F234="IMD",0,INDEX('2023 OP UPL Data'!M:M,MATCH(A:A,'2023 OP UPL Data'!B:B,0)))),0)</f>
        <v>5629285.6775000002</v>
      </c>
      <c r="N234" s="45">
        <f t="shared" si="84"/>
        <v>22147225.466764711</v>
      </c>
      <c r="O234" s="45">
        <v>46706332.168901175</v>
      </c>
      <c r="P234" s="45">
        <v>13091259.596208479</v>
      </c>
      <c r="Q234" s="45">
        <f t="shared" si="85"/>
        <v>59797591.765109658</v>
      </c>
      <c r="R234" s="45" t="str">
        <f t="shared" si="86"/>
        <v>Yes</v>
      </c>
      <c r="S234" s="46" t="str">
        <f t="shared" si="86"/>
        <v>Yes</v>
      </c>
      <c r="T234" s="47">
        <f>ROUND(INDEX(Summary!H:H,MATCH(H:H,Summary!A:A,0)),2)</f>
        <v>2.59</v>
      </c>
      <c r="U234" s="47">
        <f>ROUND(INDEX(Summary!I:I,MATCH(H:H,Summary!A:A,0)),2)</f>
        <v>0.85</v>
      </c>
      <c r="V234" s="85">
        <f t="shared" si="87"/>
        <v>17483513.944762833</v>
      </c>
      <c r="W234" s="85">
        <f t="shared" si="87"/>
        <v>5218474.2921820069</v>
      </c>
      <c r="X234" s="45">
        <f t="shared" si="88"/>
        <v>22701988.236944839</v>
      </c>
      <c r="Y234" s="45" t="s">
        <v>3223</v>
      </c>
      <c r="Z234" s="45" t="str">
        <f t="shared" si="89"/>
        <v>No</v>
      </c>
      <c r="AA234" s="45" t="str">
        <f t="shared" si="89"/>
        <v>Yes</v>
      </c>
      <c r="AB234" s="45" t="str">
        <f t="shared" si="90"/>
        <v>Yes</v>
      </c>
      <c r="AC234" s="86">
        <f t="shared" si="103"/>
        <v>3.02</v>
      </c>
      <c r="AD234" s="86">
        <f t="shared" si="104"/>
        <v>0.89</v>
      </c>
      <c r="AE234" s="45">
        <f t="shared" si="105"/>
        <v>20386182.28308253</v>
      </c>
      <c r="AF234" s="45">
        <f t="shared" si="105"/>
        <v>5464049.5529905716</v>
      </c>
      <c r="AG234" s="45">
        <f t="shared" si="91"/>
        <v>25850231.836073101</v>
      </c>
      <c r="AH234" s="47">
        <f>IF(Y234="No",0,IFERROR(ROUNDDOWN(INDEX('90% of ACR'!K:K,MATCH(H:H,'90% of ACR'!A:A,0))*IF(I234&gt;0,IF(O234&gt;0,$R$4*MAX(O234-V234,0),0),0)/I234,2),0))</f>
        <v>0</v>
      </c>
      <c r="AI234" s="86">
        <f>IF(Y234="No",0,IFERROR(ROUNDDOWN(INDEX('90% of ACR'!R:R,MATCH(H:H,'90% of ACR'!A:A,0))*IF(J234&gt;0,IF(P234&gt;0,$R$4*MAX(P234-W234,0),0),0)/J234,2),0))</f>
        <v>0.67</v>
      </c>
      <c r="AJ234" s="45">
        <f t="shared" si="92"/>
        <v>0</v>
      </c>
      <c r="AK234" s="45">
        <f t="shared" si="92"/>
        <v>4113385.6185434642</v>
      </c>
      <c r="AL234" s="47">
        <f t="shared" si="93"/>
        <v>2.59</v>
      </c>
      <c r="AM234" s="47">
        <f t="shared" si="93"/>
        <v>1.52</v>
      </c>
      <c r="AN234" s="87">
        <f>IFERROR(INDEX(FeeCalc!P:P,MATCH(C234,FeeCalc!F:F,0)),0)</f>
        <v>26815373.855488304</v>
      </c>
      <c r="AO234" s="87">
        <f>IFERROR(INDEX(FeeCalc!S:S,MATCH(C234,FeeCalc!F:F,0)),0)</f>
        <v>1679012.6786008975</v>
      </c>
      <c r="AP234" s="87">
        <f t="shared" si="94"/>
        <v>28494386.5340892</v>
      </c>
      <c r="AQ234" s="72">
        <f t="shared" si="95"/>
        <v>12091080.02678314</v>
      </c>
      <c r="AR234" s="72">
        <f t="shared" si="96"/>
        <v>6045540.0133915702</v>
      </c>
      <c r="AS234" s="72">
        <f t="shared" si="97"/>
        <v>6045540.0133915702</v>
      </c>
      <c r="AT234" s="72">
        <f>IFERROR(IFERROR(INDEX('2023 IP UPL Data'!L:L,MATCH(A:A,'2023 IP UPL Data'!B:B,0)),INDEX('2023 IMD UPL Data'!I:I,MATCH(A:A,'2023 IMD UPL Data'!B:B,0))),0)</f>
        <v>5676429.4007352926</v>
      </c>
      <c r="AU234" s="72">
        <f>IFERROR(IF(F232="IMD",0,INDEX('2023 OP UPL Data'!J:J,MATCH(A:A,'2023 OP UPL Data'!B:B,0))),0)</f>
        <v>2375453.3125</v>
      </c>
      <c r="AV234" s="45">
        <f t="shared" si="98"/>
        <v>8051882.7132352926</v>
      </c>
      <c r="AW234" s="72">
        <f>IFERROR(IFERROR(INDEX('2023 IP UPL Data'!M:M,MATCH(A:A,'2023 IP UPL Data'!B:B,0)),INDEX('2023 IMD UPL Data'!K:K,MATCH(A:A,'2023 IMD UPL Data'!B:B,0))),0)</f>
        <v>22194369.190000001</v>
      </c>
      <c r="AX234" s="72">
        <f>IFERROR(IF(F232="IMD",0,INDEX('2023 OP UPL Data'!L:L,MATCH(A:A,'2023 OP UPL Data'!B:B,0))),0)</f>
        <v>8004738.9900000002</v>
      </c>
      <c r="AY234" s="45">
        <f t="shared" si="99"/>
        <v>30199108.18</v>
      </c>
      <c r="AZ234" s="72">
        <v>52382761.569636464</v>
      </c>
      <c r="BA234" s="72">
        <v>15466712.908708479</v>
      </c>
      <c r="BB234" s="72">
        <f t="shared" si="100"/>
        <v>34899247.624873631</v>
      </c>
      <c r="BC234" s="72">
        <f t="shared" si="100"/>
        <v>10248238.616526473</v>
      </c>
      <c r="BD234" s="72">
        <f t="shared" si="101"/>
        <v>45147486.241400108</v>
      </c>
      <c r="BE234" s="94">
        <f t="shared" si="102"/>
        <v>30188392.379636463</v>
      </c>
      <c r="BF234" s="94">
        <f t="shared" si="102"/>
        <v>7461973.918708479</v>
      </c>
      <c r="BG234" s="73">
        <f>IFERROR(INDEX('2023 IP UPL Data'!K:K,MATCH(A234,'2023 IP UPL Data'!B:B,0)),0)</f>
        <v>0</v>
      </c>
    </row>
    <row r="235" spans="1:59">
      <c r="A235" s="124" t="s">
        <v>276</v>
      </c>
      <c r="B235" s="149" t="s">
        <v>276</v>
      </c>
      <c r="C235" s="31" t="s">
        <v>277</v>
      </c>
      <c r="D235" s="181" t="s">
        <v>277</v>
      </c>
      <c r="E235" s="144" t="s">
        <v>3326</v>
      </c>
      <c r="F235" s="120" t="s">
        <v>2718</v>
      </c>
      <c r="G235" s="120" t="s">
        <v>300</v>
      </c>
      <c r="H235" s="43" t="str">
        <f t="shared" si="82"/>
        <v>Urban Harris</v>
      </c>
      <c r="I235" s="45">
        <f>INDEX(FeeCalc!M:M,MATCH(C:C,FeeCalc!F:F,0))</f>
        <v>5201248.5045867581</v>
      </c>
      <c r="J235" s="45">
        <f>INDEX(FeeCalc!L:L,MATCH(C:C,FeeCalc!F:F,0))</f>
        <v>6597675.6592893153</v>
      </c>
      <c r="K235" s="45">
        <f t="shared" si="83"/>
        <v>11798924.163876073</v>
      </c>
      <c r="L235" s="45">
        <f>IFERROR(IFERROR(INDEX('2023 IP UPL Data'!N:N,MATCH(A:A,'2023 IP UPL Data'!B:B,0)),INDEX('2023 IMD UPL Data'!M:M,MATCH(A:A,'2023 IMD UPL Data'!B:B,0))),0)</f>
        <v>9853462.341176467</v>
      </c>
      <c r="M235" s="45">
        <f>IFERROR((IF(F235="IMD",0,INDEX('2023 OP UPL Data'!M:M,MATCH(A:A,'2023 OP UPL Data'!B:B,0)))),0)</f>
        <v>1477332.2304411763</v>
      </c>
      <c r="N235" s="45">
        <f t="shared" si="84"/>
        <v>11330794.571617644</v>
      </c>
      <c r="O235" s="45">
        <v>30211671.217060581</v>
      </c>
      <c r="P235" s="45">
        <v>7039910.860352587</v>
      </c>
      <c r="Q235" s="45">
        <f t="shared" si="85"/>
        <v>37251582.077413172</v>
      </c>
      <c r="R235" s="45" t="str">
        <f t="shared" si="86"/>
        <v>Yes</v>
      </c>
      <c r="S235" s="46" t="str">
        <f t="shared" si="86"/>
        <v>Yes</v>
      </c>
      <c r="T235" s="47">
        <f>ROUND(INDEX(Summary!H:H,MATCH(H:H,Summary!A:A,0)),2)</f>
        <v>2.59</v>
      </c>
      <c r="U235" s="47">
        <f>ROUND(INDEX(Summary!I:I,MATCH(H:H,Summary!A:A,0)),2)</f>
        <v>0.85</v>
      </c>
      <c r="V235" s="85">
        <f t="shared" si="87"/>
        <v>13471233.626879703</v>
      </c>
      <c r="W235" s="85">
        <f t="shared" si="87"/>
        <v>5608024.3103959179</v>
      </c>
      <c r="X235" s="45">
        <f t="shared" si="88"/>
        <v>19079257.937275622</v>
      </c>
      <c r="Y235" s="45" t="s">
        <v>3223</v>
      </c>
      <c r="Z235" s="45" t="str">
        <f t="shared" si="89"/>
        <v>No</v>
      </c>
      <c r="AA235" s="45" t="str">
        <f t="shared" si="89"/>
        <v>Yes</v>
      </c>
      <c r="AB235" s="45" t="str">
        <f t="shared" si="90"/>
        <v>Yes</v>
      </c>
      <c r="AC235" s="86">
        <f t="shared" si="103"/>
        <v>2.2400000000000002</v>
      </c>
      <c r="AD235" s="86">
        <f t="shared" si="104"/>
        <v>0.15</v>
      </c>
      <c r="AE235" s="45">
        <f t="shared" si="105"/>
        <v>11650796.65027434</v>
      </c>
      <c r="AF235" s="45">
        <f t="shared" si="105"/>
        <v>989651.34889339725</v>
      </c>
      <c r="AG235" s="45">
        <f t="shared" si="91"/>
        <v>12640447.999167737</v>
      </c>
      <c r="AH235" s="47">
        <f>IF(Y235="No",0,IFERROR(ROUNDDOWN(INDEX('90% of ACR'!K:K,MATCH(H:H,'90% of ACR'!A:A,0))*IF(I235&gt;0,IF(O235&gt;0,$R$4*MAX(O235-V235,0),0),0)/I235,2),0))</f>
        <v>0</v>
      </c>
      <c r="AI235" s="86">
        <f>IF(Y235="No",0,IFERROR(ROUNDDOWN(INDEX('90% of ACR'!R:R,MATCH(H:H,'90% of ACR'!A:A,0))*IF(J235&gt;0,IF(P235&gt;0,$R$4*MAX(P235-W235,0),0),0)/J235,2),0))</f>
        <v>0.11</v>
      </c>
      <c r="AJ235" s="45">
        <f t="shared" si="92"/>
        <v>0</v>
      </c>
      <c r="AK235" s="45">
        <f t="shared" si="92"/>
        <v>725744.32252182474</v>
      </c>
      <c r="AL235" s="47">
        <f t="shared" si="93"/>
        <v>2.59</v>
      </c>
      <c r="AM235" s="47">
        <f t="shared" si="93"/>
        <v>0.96</v>
      </c>
      <c r="AN235" s="87">
        <f>IFERROR(INDEX(FeeCalc!P:P,MATCH(C235,FeeCalc!F:F,0)),0)</f>
        <v>19805002.259797446</v>
      </c>
      <c r="AO235" s="87">
        <f>IFERROR(INDEX(FeeCalc!S:S,MATCH(C235,FeeCalc!F:F,0)),0)</f>
        <v>1220105.7762562404</v>
      </c>
      <c r="AP235" s="87">
        <f t="shared" si="94"/>
        <v>21025108.036053687</v>
      </c>
      <c r="AQ235" s="72">
        <f t="shared" si="95"/>
        <v>8921626.1431547347</v>
      </c>
      <c r="AR235" s="72">
        <f t="shared" si="96"/>
        <v>4460813.0715773674</v>
      </c>
      <c r="AS235" s="72">
        <f t="shared" si="97"/>
        <v>4460813.0715773674</v>
      </c>
      <c r="AT235" s="72">
        <f>IFERROR(IFERROR(INDEX('2023 IP UPL Data'!L:L,MATCH(A:A,'2023 IP UPL Data'!B:B,0)),INDEX('2023 IMD UPL Data'!I:I,MATCH(A:A,'2023 IMD UPL Data'!B:B,0))),0)</f>
        <v>6551840.3088235334</v>
      </c>
      <c r="AU235" s="72">
        <f>IFERROR(IF(F233="IMD",0,INDEX('2023 OP UPL Data'!J:J,MATCH(A:A,'2023 OP UPL Data'!B:B,0))),0)</f>
        <v>4624568.2095588241</v>
      </c>
      <c r="AV235" s="45">
        <f t="shared" si="98"/>
        <v>11176408.518382357</v>
      </c>
      <c r="AW235" s="72">
        <f>IFERROR(IFERROR(INDEX('2023 IP UPL Data'!M:M,MATCH(A:A,'2023 IP UPL Data'!B:B,0)),INDEX('2023 IMD UPL Data'!K:K,MATCH(A:A,'2023 IMD UPL Data'!B:B,0))),0)</f>
        <v>16405302.65</v>
      </c>
      <c r="AX235" s="72">
        <f>IFERROR(IF(F233="IMD",0,INDEX('2023 OP UPL Data'!L:L,MATCH(A:A,'2023 OP UPL Data'!B:B,0))),0)</f>
        <v>6101900.4400000004</v>
      </c>
      <c r="AY235" s="45">
        <f t="shared" si="99"/>
        <v>22507203.09</v>
      </c>
      <c r="AZ235" s="72">
        <v>36763511.525884114</v>
      </c>
      <c r="BA235" s="72">
        <v>11664479.069911411</v>
      </c>
      <c r="BB235" s="72">
        <f t="shared" si="100"/>
        <v>23292277.899004411</v>
      </c>
      <c r="BC235" s="72">
        <f t="shared" si="100"/>
        <v>6056454.7595154932</v>
      </c>
      <c r="BD235" s="72">
        <f t="shared" si="101"/>
        <v>29348732.658519905</v>
      </c>
      <c r="BE235" s="94">
        <f t="shared" si="102"/>
        <v>20358208.875884116</v>
      </c>
      <c r="BF235" s="94">
        <f t="shared" si="102"/>
        <v>5562578.6299114106</v>
      </c>
      <c r="BG235" s="73">
        <f>IFERROR(INDEX('2023 IP UPL Data'!K:K,MATCH(A235,'2023 IP UPL Data'!B:B,0)),0)</f>
        <v>0</v>
      </c>
    </row>
    <row r="236" spans="1:59">
      <c r="A236" s="124" t="s">
        <v>1065</v>
      </c>
      <c r="B236" s="149" t="s">
        <v>1065</v>
      </c>
      <c r="C236" s="31" t="s">
        <v>1066</v>
      </c>
      <c r="D236" s="181" t="s">
        <v>1066</v>
      </c>
      <c r="E236" s="144" t="s">
        <v>2969</v>
      </c>
      <c r="F236" s="120" t="s">
        <v>2718</v>
      </c>
      <c r="G236" s="120" t="s">
        <v>1202</v>
      </c>
      <c r="H236" s="43" t="str">
        <f t="shared" si="82"/>
        <v>Urban Travis</v>
      </c>
      <c r="I236" s="45">
        <f>INDEX(FeeCalc!M:M,MATCH(C:C,FeeCalc!F:F,0))</f>
        <v>14329190.871875739</v>
      </c>
      <c r="J236" s="45">
        <f>INDEX(FeeCalc!L:L,MATCH(C:C,FeeCalc!F:F,0))</f>
        <v>2336726.8198023718</v>
      </c>
      <c r="K236" s="45">
        <f t="shared" si="83"/>
        <v>16665917.691678111</v>
      </c>
      <c r="L236" s="45">
        <f>IFERROR(IFERROR(INDEX('2023 IP UPL Data'!N:N,MATCH(A:A,'2023 IP UPL Data'!B:B,0)),INDEX('2023 IMD UPL Data'!M:M,MATCH(A:A,'2023 IMD UPL Data'!B:B,0))),0)</f>
        <v>11812981.936582278</v>
      </c>
      <c r="M236" s="45">
        <f>IFERROR((IF(F236="IMD",0,INDEX('2023 OP UPL Data'!M:M,MATCH(A:A,'2023 OP UPL Data'!B:B,0)))),0)</f>
        <v>7329141.5013924055</v>
      </c>
      <c r="N236" s="45">
        <f t="shared" si="84"/>
        <v>19142123.437974684</v>
      </c>
      <c r="O236" s="45">
        <v>35612498.634097368</v>
      </c>
      <c r="P236" s="45">
        <v>9355072.6642642282</v>
      </c>
      <c r="Q236" s="45">
        <f t="shared" si="85"/>
        <v>44967571.298361599</v>
      </c>
      <c r="R236" s="45" t="str">
        <f t="shared" si="86"/>
        <v>Yes</v>
      </c>
      <c r="S236" s="46" t="str">
        <f t="shared" si="86"/>
        <v>Yes</v>
      </c>
      <c r="T236" s="47">
        <f>ROUND(INDEX(Summary!H:H,MATCH(H:H,Summary!A:A,0)),2)</f>
        <v>0.75</v>
      </c>
      <c r="U236" s="47">
        <f>ROUND(INDEX(Summary!I:I,MATCH(H:H,Summary!A:A,0)),2)</f>
        <v>1.83</v>
      </c>
      <c r="V236" s="85">
        <f t="shared" si="87"/>
        <v>10746893.153906804</v>
      </c>
      <c r="W236" s="85">
        <f t="shared" si="87"/>
        <v>4276210.0802383404</v>
      </c>
      <c r="X236" s="45">
        <f t="shared" si="88"/>
        <v>15023103.234145144</v>
      </c>
      <c r="Y236" s="45" t="s">
        <v>3223</v>
      </c>
      <c r="Z236" s="45" t="str">
        <f t="shared" si="89"/>
        <v>Yes</v>
      </c>
      <c r="AA236" s="45" t="str">
        <f t="shared" si="89"/>
        <v>Yes</v>
      </c>
      <c r="AB236" s="45" t="str">
        <f t="shared" si="90"/>
        <v>Yes</v>
      </c>
      <c r="AC236" s="86">
        <f t="shared" si="103"/>
        <v>1.21</v>
      </c>
      <c r="AD236" s="86">
        <f t="shared" si="104"/>
        <v>1.51</v>
      </c>
      <c r="AE236" s="45">
        <f t="shared" si="105"/>
        <v>17338320.954969645</v>
      </c>
      <c r="AF236" s="45">
        <f t="shared" si="105"/>
        <v>3528457.4979015812</v>
      </c>
      <c r="AG236" s="45">
        <f t="shared" si="91"/>
        <v>20866778.452871226</v>
      </c>
      <c r="AH236" s="47">
        <f>IF(Y236="No",0,IFERROR(ROUNDDOWN(INDEX('90% of ACR'!K:K,MATCH(H:H,'90% of ACR'!A:A,0))*IF(I236&gt;0,IF(O236&gt;0,$R$4*MAX(O236-V236,0),0),0)/I236,2),0))</f>
        <v>1.2</v>
      </c>
      <c r="AI236" s="86">
        <f>IF(Y236="No",0,IFERROR(ROUNDDOWN(INDEX('90% of ACR'!R:R,MATCH(H:H,'90% of ACR'!A:A,0))*IF(J236&gt;0,IF(P236&gt;0,$R$4*MAX(P236-W236,0),0),0)/J236,2),0))</f>
        <v>0.78</v>
      </c>
      <c r="AJ236" s="45">
        <f t="shared" si="92"/>
        <v>17195029.046250887</v>
      </c>
      <c r="AK236" s="45">
        <f t="shared" si="92"/>
        <v>1822646.91944585</v>
      </c>
      <c r="AL236" s="47">
        <f t="shared" si="93"/>
        <v>1.95</v>
      </c>
      <c r="AM236" s="47">
        <f t="shared" si="93"/>
        <v>2.6100000000000003</v>
      </c>
      <c r="AN236" s="87">
        <f>IFERROR(INDEX(FeeCalc!P:P,MATCH(C236,FeeCalc!F:F,0)),0)</f>
        <v>34040779.199841879</v>
      </c>
      <c r="AO236" s="87">
        <f>IFERROR(INDEX(FeeCalc!S:S,MATCH(C236,FeeCalc!F:F,0)),0)</f>
        <v>2095507.1775782658</v>
      </c>
      <c r="AP236" s="87">
        <f t="shared" si="94"/>
        <v>36136286.377420142</v>
      </c>
      <c r="AQ236" s="72">
        <f t="shared" si="95"/>
        <v>15333782.671103446</v>
      </c>
      <c r="AR236" s="72">
        <f t="shared" si="96"/>
        <v>7666891.3355517229</v>
      </c>
      <c r="AS236" s="72">
        <f t="shared" si="97"/>
        <v>7666891.3355517229</v>
      </c>
      <c r="AT236" s="72">
        <f>IFERROR(IFERROR(INDEX('2023 IP UPL Data'!L:L,MATCH(A:A,'2023 IP UPL Data'!B:B,0)),INDEX('2023 IMD UPL Data'!I:I,MATCH(A:A,'2023 IMD UPL Data'!B:B,0))),0)</f>
        <v>18056937.87341772</v>
      </c>
      <c r="AU236" s="72">
        <f>IFERROR(IF(F234="IMD",0,INDEX('2023 OP UPL Data'!J:J,MATCH(A:A,'2023 OP UPL Data'!B:B,0))),0)</f>
        <v>2014343.0886075948</v>
      </c>
      <c r="AV236" s="45">
        <f t="shared" si="98"/>
        <v>20071280.962025315</v>
      </c>
      <c r="AW236" s="72">
        <f>IFERROR(IFERROR(INDEX('2023 IP UPL Data'!M:M,MATCH(A:A,'2023 IP UPL Data'!B:B,0)),INDEX('2023 IMD UPL Data'!K:K,MATCH(A:A,'2023 IMD UPL Data'!B:B,0))),0)</f>
        <v>29869919.809999999</v>
      </c>
      <c r="AX236" s="72">
        <f>IFERROR(IF(F234="IMD",0,INDEX('2023 OP UPL Data'!L:L,MATCH(A:A,'2023 OP UPL Data'!B:B,0))),0)</f>
        <v>9343484.5899999999</v>
      </c>
      <c r="AY236" s="45">
        <f t="shared" si="99"/>
        <v>39213404.399999999</v>
      </c>
      <c r="AZ236" s="72">
        <v>53669436.507515088</v>
      </c>
      <c r="BA236" s="72">
        <v>11369415.752871823</v>
      </c>
      <c r="BB236" s="72">
        <f t="shared" si="100"/>
        <v>42922543.35360828</v>
      </c>
      <c r="BC236" s="72">
        <f t="shared" si="100"/>
        <v>7093205.6726334821</v>
      </c>
      <c r="BD236" s="72">
        <f t="shared" si="101"/>
        <v>50015749.026241772</v>
      </c>
      <c r="BE236" s="94">
        <f t="shared" si="102"/>
        <v>23799516.697515089</v>
      </c>
      <c r="BF236" s="94">
        <f t="shared" si="102"/>
        <v>2025931.1628718227</v>
      </c>
      <c r="BG236" s="73">
        <f>IFERROR(INDEX('2023 IP UPL Data'!K:K,MATCH(A236,'2023 IP UPL Data'!B:B,0)),0)</f>
        <v>0</v>
      </c>
    </row>
    <row r="237" spans="1:59">
      <c r="A237" s="124" t="s">
        <v>1056</v>
      </c>
      <c r="B237" s="149" t="s">
        <v>1056</v>
      </c>
      <c r="C237" s="31" t="s">
        <v>1057</v>
      </c>
      <c r="D237" s="181" t="s">
        <v>1057</v>
      </c>
      <c r="E237" s="144" t="s">
        <v>2970</v>
      </c>
      <c r="F237" s="120" t="s">
        <v>2718</v>
      </c>
      <c r="G237" s="120" t="s">
        <v>1202</v>
      </c>
      <c r="H237" s="43" t="str">
        <f t="shared" si="82"/>
        <v>Urban Travis</v>
      </c>
      <c r="I237" s="45">
        <f>INDEX(FeeCalc!M:M,MATCH(C:C,FeeCalc!F:F,0))</f>
        <v>18648029.63574848</v>
      </c>
      <c r="J237" s="45">
        <f>INDEX(FeeCalc!L:L,MATCH(C:C,FeeCalc!F:F,0))</f>
        <v>2210721.4507756252</v>
      </c>
      <c r="K237" s="45">
        <f t="shared" si="83"/>
        <v>20858751.086524107</v>
      </c>
      <c r="L237" s="45">
        <f>IFERROR(IFERROR(INDEX('2023 IP UPL Data'!N:N,MATCH(A:A,'2023 IP UPL Data'!B:B,0)),INDEX('2023 IMD UPL Data'!M:M,MATCH(A:A,'2023 IMD UPL Data'!B:B,0))),0)</f>
        <v>5858257.6118987352</v>
      </c>
      <c r="M237" s="45">
        <f>IFERROR((IF(F237="IMD",0,INDEX('2023 OP UPL Data'!M:M,MATCH(A:A,'2023 OP UPL Data'!B:B,0)))),0)</f>
        <v>6463815.1699999999</v>
      </c>
      <c r="N237" s="45">
        <f t="shared" si="84"/>
        <v>12322072.781898735</v>
      </c>
      <c r="O237" s="45">
        <v>38297413.633752652</v>
      </c>
      <c r="P237" s="45">
        <v>9888563.9357622564</v>
      </c>
      <c r="Q237" s="45">
        <f t="shared" si="85"/>
        <v>48185977.569514908</v>
      </c>
      <c r="R237" s="45" t="str">
        <f t="shared" si="86"/>
        <v>Yes</v>
      </c>
      <c r="S237" s="46" t="str">
        <f t="shared" si="86"/>
        <v>Yes</v>
      </c>
      <c r="T237" s="47">
        <f>ROUND(INDEX(Summary!H:H,MATCH(H:H,Summary!A:A,0)),2)</f>
        <v>0.75</v>
      </c>
      <c r="U237" s="47">
        <f>ROUND(INDEX(Summary!I:I,MATCH(H:H,Summary!A:A,0)),2)</f>
        <v>1.83</v>
      </c>
      <c r="V237" s="85">
        <f t="shared" si="87"/>
        <v>13986022.226811361</v>
      </c>
      <c r="W237" s="85">
        <f t="shared" si="87"/>
        <v>4045620.2549193944</v>
      </c>
      <c r="X237" s="45">
        <f t="shared" si="88"/>
        <v>18031642.481730755</v>
      </c>
      <c r="Y237" s="45" t="s">
        <v>3223</v>
      </c>
      <c r="Z237" s="45" t="str">
        <f t="shared" si="89"/>
        <v>Yes</v>
      </c>
      <c r="AA237" s="45" t="str">
        <f t="shared" si="89"/>
        <v>Yes</v>
      </c>
      <c r="AB237" s="45" t="str">
        <f t="shared" si="90"/>
        <v>Yes</v>
      </c>
      <c r="AC237" s="86">
        <f t="shared" si="103"/>
        <v>0.91</v>
      </c>
      <c r="AD237" s="86">
        <f t="shared" si="104"/>
        <v>1.84</v>
      </c>
      <c r="AE237" s="45">
        <f t="shared" si="105"/>
        <v>16969706.968531117</v>
      </c>
      <c r="AF237" s="45">
        <f t="shared" si="105"/>
        <v>4067727.4694271507</v>
      </c>
      <c r="AG237" s="45">
        <f t="shared" si="91"/>
        <v>21037434.437958267</v>
      </c>
      <c r="AH237" s="47">
        <f>IF(Y237="No",0,IFERROR(ROUNDDOWN(INDEX('90% of ACR'!K:K,MATCH(H:H,'90% of ACR'!A:A,0))*IF(I237&gt;0,IF(O237&gt;0,$R$4*MAX(O237-V237,0),0),0)/I237,2),0))</f>
        <v>0.9</v>
      </c>
      <c r="AI237" s="86">
        <f>IF(Y237="No",0,IFERROR(ROUNDDOWN(INDEX('90% of ACR'!R:R,MATCH(H:H,'90% of ACR'!A:A,0))*IF(J237&gt;0,IF(P237&gt;0,$R$4*MAX(P237-W237,0),0),0)/J237,2),0))</f>
        <v>0.95</v>
      </c>
      <c r="AJ237" s="45">
        <f t="shared" si="92"/>
        <v>16783226.67217363</v>
      </c>
      <c r="AK237" s="45">
        <f t="shared" si="92"/>
        <v>2100185.3782368437</v>
      </c>
      <c r="AL237" s="47">
        <f t="shared" si="93"/>
        <v>1.65</v>
      </c>
      <c r="AM237" s="47">
        <f t="shared" si="93"/>
        <v>2.7800000000000002</v>
      </c>
      <c r="AN237" s="87">
        <f>IFERROR(INDEX(FeeCalc!P:P,MATCH(C237,FeeCalc!F:F,0)),0)</f>
        <v>36915054.532141231</v>
      </c>
      <c r="AO237" s="87">
        <f>IFERROR(INDEX(FeeCalc!S:S,MATCH(C237,FeeCalc!F:F,0)),0)</f>
        <v>2286692.7127443822</v>
      </c>
      <c r="AP237" s="87">
        <f t="shared" si="94"/>
        <v>39201747.244885616</v>
      </c>
      <c r="AQ237" s="72">
        <f t="shared" si="95"/>
        <v>16634555.811916806</v>
      </c>
      <c r="AR237" s="72">
        <f t="shared" si="96"/>
        <v>8317277.9059584029</v>
      </c>
      <c r="AS237" s="72">
        <f t="shared" si="97"/>
        <v>8317277.9059584029</v>
      </c>
      <c r="AT237" s="72">
        <f>IFERROR(IFERROR(INDEX('2023 IP UPL Data'!L:L,MATCH(A:A,'2023 IP UPL Data'!B:B,0)),INDEX('2023 IMD UPL Data'!I:I,MATCH(A:A,'2023 IMD UPL Data'!B:B,0))),0)</f>
        <v>21986768.848101266</v>
      </c>
      <c r="AU237" s="72">
        <f>IFERROR(IF(F235="IMD",0,INDEX('2023 OP UPL Data'!J:J,MATCH(A:A,'2023 OP UPL Data'!B:B,0))),0)</f>
        <v>1870939.9999999998</v>
      </c>
      <c r="AV237" s="45">
        <f t="shared" si="98"/>
        <v>23857708.848101266</v>
      </c>
      <c r="AW237" s="72">
        <f>IFERROR(IFERROR(INDEX('2023 IP UPL Data'!M:M,MATCH(A:A,'2023 IP UPL Data'!B:B,0)),INDEX('2023 IMD UPL Data'!K:K,MATCH(A:A,'2023 IMD UPL Data'!B:B,0))),0)</f>
        <v>27845026.460000001</v>
      </c>
      <c r="AX237" s="72">
        <f>IFERROR(IF(F235="IMD",0,INDEX('2023 OP UPL Data'!L:L,MATCH(A:A,'2023 OP UPL Data'!B:B,0))),0)</f>
        <v>8334755.1699999999</v>
      </c>
      <c r="AY237" s="45">
        <f t="shared" si="99"/>
        <v>36179781.630000003</v>
      </c>
      <c r="AZ237" s="72">
        <v>60284182.481853917</v>
      </c>
      <c r="BA237" s="72">
        <v>11759503.935762256</v>
      </c>
      <c r="BB237" s="72">
        <f t="shared" si="100"/>
        <v>46298160.255042553</v>
      </c>
      <c r="BC237" s="72">
        <f t="shared" si="100"/>
        <v>7713883.6808428615</v>
      </c>
      <c r="BD237" s="72">
        <f t="shared" si="101"/>
        <v>54012043.935885414</v>
      </c>
      <c r="BE237" s="94">
        <f t="shared" si="102"/>
        <v>32439156.021853916</v>
      </c>
      <c r="BF237" s="94">
        <f t="shared" si="102"/>
        <v>3424748.7657622565</v>
      </c>
      <c r="BG237" s="73">
        <f>IFERROR(INDEX('2023 IP UPL Data'!K:K,MATCH(A237,'2023 IP UPL Data'!B:B,0)),0)</f>
        <v>0</v>
      </c>
    </row>
    <row r="238" spans="1:59">
      <c r="A238" s="124" t="s">
        <v>261</v>
      </c>
      <c r="B238" s="149" t="s">
        <v>261</v>
      </c>
      <c r="C238" s="31" t="s">
        <v>262</v>
      </c>
      <c r="D238" s="181" t="s">
        <v>262</v>
      </c>
      <c r="E238" s="144" t="s">
        <v>3327</v>
      </c>
      <c r="F238" s="120" t="s">
        <v>2718</v>
      </c>
      <c r="G238" s="120" t="s">
        <v>300</v>
      </c>
      <c r="H238" s="43" t="str">
        <f t="shared" si="82"/>
        <v>Urban Harris</v>
      </c>
      <c r="I238" s="45">
        <f>INDEX(FeeCalc!M:M,MATCH(C:C,FeeCalc!F:F,0))</f>
        <v>4215327.6093643364</v>
      </c>
      <c r="J238" s="45">
        <f>INDEX(FeeCalc!L:L,MATCH(C:C,FeeCalc!F:F,0))</f>
        <v>3747319.6418046202</v>
      </c>
      <c r="K238" s="45">
        <f t="shared" si="83"/>
        <v>7962647.251168957</v>
      </c>
      <c r="L238" s="45">
        <f>IFERROR(IFERROR(INDEX('2023 IP UPL Data'!N:N,MATCH(A:A,'2023 IP UPL Data'!B:B,0)),INDEX('2023 IMD UPL Data'!M:M,MATCH(A:A,'2023 IMD UPL Data'!B:B,0))),0)</f>
        <v>5680745.3294117656</v>
      </c>
      <c r="M238" s="45">
        <f>IFERROR((IF(F238="IMD",0,INDEX('2023 OP UPL Data'!M:M,MATCH(A:A,'2023 OP UPL Data'!B:B,0)))),0)</f>
        <v>1670714.5794117642</v>
      </c>
      <c r="N238" s="45">
        <f t="shared" si="84"/>
        <v>7351459.9088235293</v>
      </c>
      <c r="O238" s="45">
        <v>16729958.206133148</v>
      </c>
      <c r="P238" s="45">
        <v>5509293.4409139026</v>
      </c>
      <c r="Q238" s="45">
        <f t="shared" si="85"/>
        <v>22239251.64704705</v>
      </c>
      <c r="R238" s="45" t="str">
        <f t="shared" si="86"/>
        <v>Yes</v>
      </c>
      <c r="S238" s="46" t="str">
        <f t="shared" si="86"/>
        <v>Yes</v>
      </c>
      <c r="T238" s="47">
        <f>ROUND(INDEX(Summary!H:H,MATCH(H:H,Summary!A:A,0)),2)</f>
        <v>2.59</v>
      </c>
      <c r="U238" s="47">
        <f>ROUND(INDEX(Summary!I:I,MATCH(H:H,Summary!A:A,0)),2)</f>
        <v>0.85</v>
      </c>
      <c r="V238" s="85">
        <f t="shared" si="87"/>
        <v>10917698.50825363</v>
      </c>
      <c r="W238" s="85">
        <f t="shared" si="87"/>
        <v>3185221.6955339271</v>
      </c>
      <c r="X238" s="45">
        <f t="shared" si="88"/>
        <v>14102920.203787558</v>
      </c>
      <c r="Y238" s="45" t="s">
        <v>3223</v>
      </c>
      <c r="Z238" s="45" t="str">
        <f t="shared" si="89"/>
        <v>No</v>
      </c>
      <c r="AA238" s="45" t="str">
        <f t="shared" si="89"/>
        <v>Yes</v>
      </c>
      <c r="AB238" s="45" t="str">
        <f t="shared" si="90"/>
        <v>Yes</v>
      </c>
      <c r="AC238" s="86">
        <f t="shared" si="103"/>
        <v>0.96</v>
      </c>
      <c r="AD238" s="86">
        <f t="shared" si="104"/>
        <v>0.43</v>
      </c>
      <c r="AE238" s="45">
        <f t="shared" si="105"/>
        <v>4046714.5049897628</v>
      </c>
      <c r="AF238" s="45">
        <f t="shared" si="105"/>
        <v>1611347.4459759865</v>
      </c>
      <c r="AG238" s="45">
        <f t="shared" si="91"/>
        <v>5658061.9509657491</v>
      </c>
      <c r="AH238" s="47">
        <f>IF(Y238="No",0,IFERROR(ROUNDDOWN(INDEX('90% of ACR'!K:K,MATCH(H:H,'90% of ACR'!A:A,0))*IF(I238&gt;0,IF(O238&gt;0,$R$4*MAX(O238-V238,0),0),0)/I238,2),0))</f>
        <v>0</v>
      </c>
      <c r="AI238" s="86">
        <f>IF(Y238="No",0,IFERROR(ROUNDDOWN(INDEX('90% of ACR'!R:R,MATCH(H:H,'90% of ACR'!A:A,0))*IF(J238&gt;0,IF(P238&gt;0,$R$4*MAX(P238-W238,0),0),0)/J238,2),0))</f>
        <v>0.32</v>
      </c>
      <c r="AJ238" s="45">
        <f t="shared" si="92"/>
        <v>0</v>
      </c>
      <c r="AK238" s="45">
        <f t="shared" si="92"/>
        <v>1199142.2853774785</v>
      </c>
      <c r="AL238" s="47">
        <f t="shared" si="93"/>
        <v>2.59</v>
      </c>
      <c r="AM238" s="47">
        <f t="shared" si="93"/>
        <v>1.17</v>
      </c>
      <c r="AN238" s="87">
        <f>IFERROR(INDEX(FeeCalc!P:P,MATCH(C238,FeeCalc!F:F,0)),0)</f>
        <v>15302062.489165036</v>
      </c>
      <c r="AO238" s="87">
        <f>IFERROR(INDEX(FeeCalc!S:S,MATCH(C238,FeeCalc!F:F,0)),0)</f>
        <v>937123.24952645774</v>
      </c>
      <c r="AP238" s="87">
        <f t="shared" si="94"/>
        <v>16239185.738691494</v>
      </c>
      <c r="AQ238" s="72">
        <f t="shared" si="95"/>
        <v>6890806.1628704397</v>
      </c>
      <c r="AR238" s="72">
        <f t="shared" si="96"/>
        <v>3445403.0814352199</v>
      </c>
      <c r="AS238" s="72">
        <f t="shared" si="97"/>
        <v>3445403.0814352199</v>
      </c>
      <c r="AT238" s="72">
        <f>IFERROR(IFERROR(INDEX('2023 IP UPL Data'!L:L,MATCH(A:A,'2023 IP UPL Data'!B:B,0)),INDEX('2023 IMD UPL Data'!I:I,MATCH(A:A,'2023 IMD UPL Data'!B:B,0))),0)</f>
        <v>4314090.4705882352</v>
      </c>
      <c r="AU238" s="72">
        <f>IFERROR(IF(F236="IMD",0,INDEX('2023 OP UPL Data'!J:J,MATCH(A:A,'2023 OP UPL Data'!B:B,0))),0)</f>
        <v>2342562.7205882357</v>
      </c>
      <c r="AV238" s="45">
        <f t="shared" si="98"/>
        <v>6656653.1911764704</v>
      </c>
      <c r="AW238" s="72">
        <f>IFERROR(IFERROR(INDEX('2023 IP UPL Data'!M:M,MATCH(A:A,'2023 IP UPL Data'!B:B,0)),INDEX('2023 IMD UPL Data'!K:K,MATCH(A:A,'2023 IMD UPL Data'!B:B,0))),0)</f>
        <v>9994835.8000000007</v>
      </c>
      <c r="AX238" s="72">
        <f>IFERROR(IF(F236="IMD",0,INDEX('2023 OP UPL Data'!L:L,MATCH(A:A,'2023 OP UPL Data'!B:B,0))),0)</f>
        <v>4013277.3</v>
      </c>
      <c r="AY238" s="45">
        <f t="shared" si="99"/>
        <v>14008113.100000001</v>
      </c>
      <c r="AZ238" s="72">
        <v>21044048.676721383</v>
      </c>
      <c r="BA238" s="72">
        <v>7851856.1615021387</v>
      </c>
      <c r="BB238" s="72">
        <f t="shared" si="100"/>
        <v>10126350.168467753</v>
      </c>
      <c r="BC238" s="72">
        <f t="shared" si="100"/>
        <v>4666634.4659682121</v>
      </c>
      <c r="BD238" s="72">
        <f t="shared" si="101"/>
        <v>14792984.634435963</v>
      </c>
      <c r="BE238" s="94">
        <f t="shared" si="102"/>
        <v>11049212.876721382</v>
      </c>
      <c r="BF238" s="94">
        <f t="shared" si="102"/>
        <v>3838578.8615021389</v>
      </c>
      <c r="BG238" s="73">
        <f>IFERROR(INDEX('2023 IP UPL Data'!K:K,MATCH(A238,'2023 IP UPL Data'!B:B,0)),0)</f>
        <v>0</v>
      </c>
    </row>
    <row r="239" spans="1:59">
      <c r="A239" s="124" t="s">
        <v>1062</v>
      </c>
      <c r="B239" s="149" t="s">
        <v>1062</v>
      </c>
      <c r="C239" s="31" t="s">
        <v>1063</v>
      </c>
      <c r="D239" s="181" t="s">
        <v>1063</v>
      </c>
      <c r="E239" s="144" t="s">
        <v>3352</v>
      </c>
      <c r="F239" s="120" t="s">
        <v>2718</v>
      </c>
      <c r="G239" s="120" t="s">
        <v>1202</v>
      </c>
      <c r="H239" s="43" t="str">
        <f t="shared" si="82"/>
        <v>Urban Travis</v>
      </c>
      <c r="I239" s="45">
        <f>INDEX(FeeCalc!M:M,MATCH(C:C,FeeCalc!F:F,0))</f>
        <v>8668752.9110359307</v>
      </c>
      <c r="J239" s="45">
        <f>INDEX(FeeCalc!L:L,MATCH(C:C,FeeCalc!F:F,0))</f>
        <v>2231632.9139108267</v>
      </c>
      <c r="K239" s="45">
        <f t="shared" si="83"/>
        <v>10900385.824946757</v>
      </c>
      <c r="L239" s="45">
        <f>IFERROR(IFERROR(INDEX('2023 IP UPL Data'!N:N,MATCH(A:A,'2023 IP UPL Data'!B:B,0)),INDEX('2023 IMD UPL Data'!M:M,MATCH(A:A,'2023 IMD UPL Data'!B:B,0))),0)</f>
        <v>4782477.7872151881</v>
      </c>
      <c r="M239" s="45">
        <f>IFERROR((IF(F239="IMD",0,INDEX('2023 OP UPL Data'!M:M,MATCH(A:A,'2023 OP UPL Data'!B:B,0)))),0)</f>
        <v>5145260.5736708865</v>
      </c>
      <c r="N239" s="45">
        <f t="shared" si="84"/>
        <v>9927738.3608860746</v>
      </c>
      <c r="O239" s="45">
        <v>20189821.788190559</v>
      </c>
      <c r="P239" s="45">
        <v>7180582.0405137055</v>
      </c>
      <c r="Q239" s="45">
        <f t="shared" si="85"/>
        <v>27370403.828704264</v>
      </c>
      <c r="R239" s="45" t="str">
        <f t="shared" si="86"/>
        <v>Yes</v>
      </c>
      <c r="S239" s="46" t="str">
        <f t="shared" si="86"/>
        <v>Yes</v>
      </c>
      <c r="T239" s="47">
        <f>ROUND(INDEX(Summary!H:H,MATCH(H:H,Summary!A:A,0)),2)</f>
        <v>0.75</v>
      </c>
      <c r="U239" s="47">
        <f>ROUND(INDEX(Summary!I:I,MATCH(H:H,Summary!A:A,0)),2)</f>
        <v>1.83</v>
      </c>
      <c r="V239" s="85">
        <f t="shared" si="87"/>
        <v>6501564.6832769476</v>
      </c>
      <c r="W239" s="85">
        <f t="shared" si="87"/>
        <v>4083888.2324568131</v>
      </c>
      <c r="X239" s="45">
        <f t="shared" si="88"/>
        <v>10585452.91573376</v>
      </c>
      <c r="Y239" s="45" t="s">
        <v>3223</v>
      </c>
      <c r="Z239" s="45" t="str">
        <f t="shared" si="89"/>
        <v>Yes</v>
      </c>
      <c r="AA239" s="45" t="str">
        <f t="shared" si="89"/>
        <v>Yes</v>
      </c>
      <c r="AB239" s="45" t="str">
        <f t="shared" si="90"/>
        <v>Yes</v>
      </c>
      <c r="AC239" s="86">
        <f t="shared" si="103"/>
        <v>1.1000000000000001</v>
      </c>
      <c r="AD239" s="86">
        <f t="shared" si="104"/>
        <v>0.97</v>
      </c>
      <c r="AE239" s="45">
        <f t="shared" si="105"/>
        <v>9535628.2021395247</v>
      </c>
      <c r="AF239" s="45">
        <f t="shared" si="105"/>
        <v>2164683.9264935018</v>
      </c>
      <c r="AG239" s="45">
        <f t="shared" si="91"/>
        <v>11700312.128633026</v>
      </c>
      <c r="AH239" s="47">
        <f>IF(Y239="No",0,IFERROR(ROUNDDOWN(INDEX('90% of ACR'!K:K,MATCH(H:H,'90% of ACR'!A:A,0))*IF(I239&gt;0,IF(O239&gt;0,$R$4*MAX(O239-V239,0),0),0)/I239,2),0))</f>
        <v>1.1000000000000001</v>
      </c>
      <c r="AI239" s="86">
        <f>IF(Y239="No",0,IFERROR(ROUNDDOWN(INDEX('90% of ACR'!R:R,MATCH(H:H,'90% of ACR'!A:A,0))*IF(J239&gt;0,IF(P239&gt;0,$R$4*MAX(P239-W239,0),0),0)/J239,2),0))</f>
        <v>0.5</v>
      </c>
      <c r="AJ239" s="45">
        <f t="shared" si="92"/>
        <v>9535628.2021395247</v>
      </c>
      <c r="AK239" s="45">
        <f t="shared" si="92"/>
        <v>1115816.4569554133</v>
      </c>
      <c r="AL239" s="47">
        <f t="shared" si="93"/>
        <v>1.85</v>
      </c>
      <c r="AM239" s="47">
        <f t="shared" si="93"/>
        <v>2.33</v>
      </c>
      <c r="AN239" s="87">
        <f>IFERROR(INDEX(FeeCalc!P:P,MATCH(C239,FeeCalc!F:F,0)),0)</f>
        <v>21236897.574828699</v>
      </c>
      <c r="AO239" s="87">
        <f>IFERROR(INDEX(FeeCalc!S:S,MATCH(C239,FeeCalc!F:F,0)),0)</f>
        <v>1323238.3083478252</v>
      </c>
      <c r="AP239" s="87">
        <f t="shared" si="94"/>
        <v>22560135.883176524</v>
      </c>
      <c r="AQ239" s="72">
        <f t="shared" si="95"/>
        <v>9572987.579580063</v>
      </c>
      <c r="AR239" s="72">
        <f t="shared" si="96"/>
        <v>4786493.7897900315</v>
      </c>
      <c r="AS239" s="72">
        <f t="shared" si="97"/>
        <v>4786493.7897900315</v>
      </c>
      <c r="AT239" s="72">
        <f>IFERROR(IFERROR(INDEX('2023 IP UPL Data'!L:L,MATCH(A:A,'2023 IP UPL Data'!B:B,0)),INDEX('2023 IMD UPL Data'!I:I,MATCH(A:A,'2023 IMD UPL Data'!B:B,0))),0)</f>
        <v>9649724.3227848113</v>
      </c>
      <c r="AU239" s="72">
        <f>IFERROR(IF(F237="IMD",0,INDEX('2023 OP UPL Data'!J:J,MATCH(A:A,'2023 OP UPL Data'!B:B,0))),0)</f>
        <v>1523355.5063291141</v>
      </c>
      <c r="AV239" s="45">
        <f t="shared" si="98"/>
        <v>11173079.829113925</v>
      </c>
      <c r="AW239" s="72">
        <f>IFERROR(IFERROR(INDEX('2023 IP UPL Data'!M:M,MATCH(A:A,'2023 IP UPL Data'!B:B,0)),INDEX('2023 IMD UPL Data'!K:K,MATCH(A:A,'2023 IMD UPL Data'!B:B,0))),0)</f>
        <v>14432202.109999999</v>
      </c>
      <c r="AX239" s="72">
        <f>IFERROR(IF(F237="IMD",0,INDEX('2023 OP UPL Data'!L:L,MATCH(A:A,'2023 OP UPL Data'!B:B,0))),0)</f>
        <v>6668616.0800000001</v>
      </c>
      <c r="AY239" s="45">
        <f t="shared" si="99"/>
        <v>21100818.189999998</v>
      </c>
      <c r="AZ239" s="72">
        <v>29839546.11097537</v>
      </c>
      <c r="BA239" s="72">
        <v>8703937.5468428191</v>
      </c>
      <c r="BB239" s="72">
        <f t="shared" si="100"/>
        <v>23337981.427698422</v>
      </c>
      <c r="BC239" s="72">
        <f t="shared" si="100"/>
        <v>4620049.3143860064</v>
      </c>
      <c r="BD239" s="72">
        <f t="shared" si="101"/>
        <v>27958030.742084429</v>
      </c>
      <c r="BE239" s="94">
        <f t="shared" si="102"/>
        <v>15407344.00097537</v>
      </c>
      <c r="BF239" s="94">
        <f t="shared" si="102"/>
        <v>2035321.466842819</v>
      </c>
      <c r="BG239" s="73">
        <f>IFERROR(INDEX('2023 IP UPL Data'!K:K,MATCH(A239,'2023 IP UPL Data'!B:B,0)),0)</f>
        <v>0</v>
      </c>
    </row>
    <row r="240" spans="1:59">
      <c r="A240" s="124" t="s">
        <v>1569</v>
      </c>
      <c r="B240" s="149" t="s">
        <v>1569</v>
      </c>
      <c r="C240" s="31" t="s">
        <v>1278</v>
      </c>
      <c r="D240" s="181" t="s">
        <v>1278</v>
      </c>
      <c r="E240" s="144" t="s">
        <v>3328</v>
      </c>
      <c r="F240" s="120" t="s">
        <v>2718</v>
      </c>
      <c r="G240" s="120" t="s">
        <v>300</v>
      </c>
      <c r="H240" s="43" t="str">
        <f t="shared" si="82"/>
        <v>Urban Harris</v>
      </c>
      <c r="I240" s="45">
        <f>INDEX(FeeCalc!M:M,MATCH(C:C,FeeCalc!F:F,0))</f>
        <v>4768727.2601744942</v>
      </c>
      <c r="J240" s="45">
        <f>INDEX(FeeCalc!L:L,MATCH(C:C,FeeCalc!F:F,0))</f>
        <v>8502676.6293544769</v>
      </c>
      <c r="K240" s="45">
        <f t="shared" si="83"/>
        <v>13271403.889528971</v>
      </c>
      <c r="L240" s="45">
        <f>IFERROR(IFERROR(INDEX('2023 IP UPL Data'!N:N,MATCH(A:A,'2023 IP UPL Data'!B:B,0)),INDEX('2023 IMD UPL Data'!M:M,MATCH(A:A,'2023 IMD UPL Data'!B:B,0))),0)</f>
        <v>10167862.610441178</v>
      </c>
      <c r="M240" s="45">
        <f>IFERROR((IF(F240="IMD",0,INDEX('2023 OP UPL Data'!M:M,MATCH(A:A,'2023 OP UPL Data'!B:B,0)))),0)</f>
        <v>3135942.2198529411</v>
      </c>
      <c r="N240" s="45">
        <f t="shared" si="84"/>
        <v>13303804.830294119</v>
      </c>
      <c r="O240" s="45">
        <v>27874708.916399069</v>
      </c>
      <c r="P240" s="45">
        <v>12076992.280043971</v>
      </c>
      <c r="Q240" s="45">
        <f t="shared" si="85"/>
        <v>39951701.196443036</v>
      </c>
      <c r="R240" s="45" t="str">
        <f t="shared" si="86"/>
        <v>Yes</v>
      </c>
      <c r="S240" s="46" t="str">
        <f t="shared" si="86"/>
        <v>Yes</v>
      </c>
      <c r="T240" s="47">
        <f>ROUND(INDEX(Summary!H:H,MATCH(H:H,Summary!A:A,0)),2)</f>
        <v>2.59</v>
      </c>
      <c r="U240" s="47">
        <f>ROUND(INDEX(Summary!I:I,MATCH(H:H,Summary!A:A,0)),2)</f>
        <v>0.85</v>
      </c>
      <c r="V240" s="85">
        <f t="shared" si="87"/>
        <v>12351003.603851939</v>
      </c>
      <c r="W240" s="85">
        <f t="shared" si="87"/>
        <v>7227275.1349513056</v>
      </c>
      <c r="X240" s="45">
        <f t="shared" si="88"/>
        <v>19578278.738803245</v>
      </c>
      <c r="Y240" s="45" t="s">
        <v>3223</v>
      </c>
      <c r="Z240" s="45" t="str">
        <f t="shared" si="89"/>
        <v>No</v>
      </c>
      <c r="AA240" s="45" t="str">
        <f t="shared" si="89"/>
        <v>Yes</v>
      </c>
      <c r="AB240" s="45" t="str">
        <f t="shared" si="90"/>
        <v>Yes</v>
      </c>
      <c r="AC240" s="86">
        <f t="shared" si="103"/>
        <v>2.27</v>
      </c>
      <c r="AD240" s="86">
        <f t="shared" si="104"/>
        <v>0.4</v>
      </c>
      <c r="AE240" s="45">
        <f t="shared" si="105"/>
        <v>10825010.880596101</v>
      </c>
      <c r="AF240" s="45">
        <f t="shared" si="105"/>
        <v>3401070.6517417911</v>
      </c>
      <c r="AG240" s="45">
        <f t="shared" si="91"/>
        <v>14226081.532337893</v>
      </c>
      <c r="AH240" s="47">
        <f>IF(Y240="No",0,IFERROR(ROUNDDOWN(INDEX('90% of ACR'!K:K,MATCH(H:H,'90% of ACR'!A:A,0))*IF(I240&gt;0,IF(O240&gt;0,$R$4*MAX(O240-V240,0),0),0)/I240,2),0))</f>
        <v>0</v>
      </c>
      <c r="AI240" s="86">
        <f>IF(Y240="No",0,IFERROR(ROUNDDOWN(INDEX('90% of ACR'!R:R,MATCH(H:H,'90% of ACR'!A:A,0))*IF(J240&gt;0,IF(P240&gt;0,$R$4*MAX(P240-W240,0),0),0)/J240,2),0))</f>
        <v>0.3</v>
      </c>
      <c r="AJ240" s="45">
        <f t="shared" si="92"/>
        <v>0</v>
      </c>
      <c r="AK240" s="45">
        <f t="shared" si="92"/>
        <v>2550802.9888063432</v>
      </c>
      <c r="AL240" s="47">
        <f t="shared" si="93"/>
        <v>2.59</v>
      </c>
      <c r="AM240" s="47">
        <f t="shared" si="93"/>
        <v>1.1499999999999999</v>
      </c>
      <c r="AN240" s="87">
        <f>IFERROR(INDEX(FeeCalc!P:P,MATCH(C240,FeeCalc!F:F,0)),0)</f>
        <v>22129081.727609586</v>
      </c>
      <c r="AO240" s="87">
        <f>IFERROR(INDEX(FeeCalc!S:S,MATCH(C240,FeeCalc!F:F,0)),0)</f>
        <v>1366922.2241584845</v>
      </c>
      <c r="AP240" s="87">
        <f t="shared" si="94"/>
        <v>23496003.95176807</v>
      </c>
      <c r="AQ240" s="72">
        <f t="shared" si="95"/>
        <v>9970106.3488616496</v>
      </c>
      <c r="AR240" s="72">
        <f t="shared" si="96"/>
        <v>4985053.1744308248</v>
      </c>
      <c r="AS240" s="72">
        <f t="shared" si="97"/>
        <v>4985053.1744308248</v>
      </c>
      <c r="AT240" s="72">
        <f>IFERROR(IFERROR(INDEX('2023 IP UPL Data'!L:L,MATCH(A:A,'2023 IP UPL Data'!B:B,0)),INDEX('2023 IMD UPL Data'!I:I,MATCH(A:A,'2023 IMD UPL Data'!B:B,0))),0)</f>
        <v>5705557.2095588222</v>
      </c>
      <c r="AU240" s="72">
        <f>IFERROR(IF(F238="IMD",0,INDEX('2023 OP UPL Data'!J:J,MATCH(A:A,'2023 OP UPL Data'!B:B,0))),0)</f>
        <v>5321929.6801470593</v>
      </c>
      <c r="AV240" s="45">
        <f t="shared" si="98"/>
        <v>11027486.889705881</v>
      </c>
      <c r="AW240" s="72">
        <f>IFERROR(IFERROR(INDEX('2023 IP UPL Data'!M:M,MATCH(A:A,'2023 IP UPL Data'!B:B,0)),INDEX('2023 IMD UPL Data'!K:K,MATCH(A:A,'2023 IMD UPL Data'!B:B,0))),0)</f>
        <v>15873419.82</v>
      </c>
      <c r="AX240" s="72">
        <f>IFERROR(IF(F238="IMD",0,INDEX('2023 OP UPL Data'!L:L,MATCH(A:A,'2023 OP UPL Data'!B:B,0))),0)</f>
        <v>8457871.9000000004</v>
      </c>
      <c r="AY240" s="45">
        <f t="shared" si="99"/>
        <v>24331291.719999999</v>
      </c>
      <c r="AZ240" s="72">
        <v>33580266.125957891</v>
      </c>
      <c r="BA240" s="72">
        <v>17398921.96019103</v>
      </c>
      <c r="BB240" s="72">
        <f t="shared" si="100"/>
        <v>21229262.522105955</v>
      </c>
      <c r="BC240" s="72">
        <f t="shared" si="100"/>
        <v>10171646.825239725</v>
      </c>
      <c r="BD240" s="72">
        <f t="shared" si="101"/>
        <v>31400909.347345673</v>
      </c>
      <c r="BE240" s="94">
        <f t="shared" si="102"/>
        <v>17706846.305957891</v>
      </c>
      <c r="BF240" s="94">
        <f t="shared" si="102"/>
        <v>8941050.0601910297</v>
      </c>
      <c r="BG240" s="73">
        <f>IFERROR(INDEX('2023 IP UPL Data'!K:K,MATCH(A240,'2023 IP UPL Data'!B:B,0)),0)</f>
        <v>0</v>
      </c>
    </row>
    <row r="241" spans="1:59">
      <c r="A241" s="124" t="s">
        <v>1059</v>
      </c>
      <c r="B241" s="149" t="s">
        <v>1059</v>
      </c>
      <c r="C241" s="31" t="s">
        <v>1060</v>
      </c>
      <c r="D241" s="181" t="s">
        <v>1060</v>
      </c>
      <c r="E241" s="144" t="s">
        <v>2968</v>
      </c>
      <c r="F241" s="120" t="s">
        <v>2718</v>
      </c>
      <c r="G241" s="120" t="s">
        <v>1202</v>
      </c>
      <c r="H241" s="43" t="str">
        <f t="shared" si="82"/>
        <v>Urban Travis</v>
      </c>
      <c r="I241" s="45">
        <f>INDEX(FeeCalc!M:M,MATCH(C:C,FeeCalc!F:F,0))</f>
        <v>2540278.323731421</v>
      </c>
      <c r="J241" s="45">
        <f>INDEX(FeeCalc!L:L,MATCH(C:C,FeeCalc!F:F,0))</f>
        <v>533433.78281438607</v>
      </c>
      <c r="K241" s="45">
        <f t="shared" si="83"/>
        <v>3073712.1065458069</v>
      </c>
      <c r="L241" s="45">
        <f>IFERROR(IFERROR(INDEX('2023 IP UPL Data'!N:N,MATCH(A:A,'2023 IP UPL Data'!B:B,0)),INDEX('2023 IMD UPL Data'!M:M,MATCH(A:A,'2023 IMD UPL Data'!B:B,0))),0)</f>
        <v>1242011.9374683541</v>
      </c>
      <c r="M241" s="45">
        <f>IFERROR((IF(F241="IMD",0,INDEX('2023 OP UPL Data'!M:M,MATCH(A:A,'2023 OP UPL Data'!B:B,0)))),0)</f>
        <v>2057712.2425316456</v>
      </c>
      <c r="N241" s="45">
        <f t="shared" si="84"/>
        <v>3299724.1799999997</v>
      </c>
      <c r="O241" s="45">
        <v>6062229.0651661362</v>
      </c>
      <c r="P241" s="45">
        <v>2783082.1745047476</v>
      </c>
      <c r="Q241" s="45">
        <f t="shared" si="85"/>
        <v>8845311.2396708839</v>
      </c>
      <c r="R241" s="45" t="str">
        <f t="shared" si="86"/>
        <v>Yes</v>
      </c>
      <c r="S241" s="46" t="str">
        <f t="shared" si="86"/>
        <v>Yes</v>
      </c>
      <c r="T241" s="47">
        <f>ROUND(INDEX(Summary!H:H,MATCH(H:H,Summary!A:A,0)),2)</f>
        <v>0.75</v>
      </c>
      <c r="U241" s="47">
        <f>ROUND(INDEX(Summary!I:I,MATCH(H:H,Summary!A:A,0)),2)</f>
        <v>1.83</v>
      </c>
      <c r="V241" s="85">
        <f t="shared" si="87"/>
        <v>1905208.7427985659</v>
      </c>
      <c r="W241" s="85">
        <f t="shared" si="87"/>
        <v>976183.82255032659</v>
      </c>
      <c r="X241" s="45">
        <f t="shared" si="88"/>
        <v>2881392.5653488925</v>
      </c>
      <c r="Y241" s="45" t="s">
        <v>3223</v>
      </c>
      <c r="Z241" s="45" t="str">
        <f t="shared" si="89"/>
        <v>Yes</v>
      </c>
      <c r="AA241" s="45" t="str">
        <f t="shared" si="89"/>
        <v>Yes</v>
      </c>
      <c r="AB241" s="45" t="str">
        <f t="shared" si="90"/>
        <v>Yes</v>
      </c>
      <c r="AC241" s="86">
        <f t="shared" si="103"/>
        <v>1.1399999999999999</v>
      </c>
      <c r="AD241" s="86">
        <f t="shared" si="104"/>
        <v>2.36</v>
      </c>
      <c r="AE241" s="45">
        <f t="shared" si="105"/>
        <v>2895917.2890538196</v>
      </c>
      <c r="AF241" s="45">
        <f t="shared" si="105"/>
        <v>1258903.7274419512</v>
      </c>
      <c r="AG241" s="45">
        <f t="shared" si="91"/>
        <v>4154821.0164957708</v>
      </c>
      <c r="AH241" s="47">
        <f>IF(Y241="No",0,IFERROR(ROUNDDOWN(INDEX('90% of ACR'!K:K,MATCH(H:H,'90% of ACR'!A:A,0))*IF(I241&gt;0,IF(O241&gt;0,$R$4*MAX(O241-V241,0),0),0)/I241,2),0))</f>
        <v>1.1399999999999999</v>
      </c>
      <c r="AI241" s="86">
        <f>IF(Y241="No",0,IFERROR(ROUNDDOWN(INDEX('90% of ACR'!R:R,MATCH(H:H,'90% of ACR'!A:A,0))*IF(J241&gt;0,IF(P241&gt;0,$R$4*MAX(P241-W241,0),0),0)/J241,2),0))</f>
        <v>1.22</v>
      </c>
      <c r="AJ241" s="45">
        <f t="shared" si="92"/>
        <v>2895917.2890538196</v>
      </c>
      <c r="AK241" s="45">
        <f t="shared" si="92"/>
        <v>650789.21503355098</v>
      </c>
      <c r="AL241" s="47">
        <f t="shared" si="93"/>
        <v>1.89</v>
      </c>
      <c r="AM241" s="47">
        <f t="shared" si="93"/>
        <v>3.05</v>
      </c>
      <c r="AN241" s="87">
        <f>IFERROR(INDEX(FeeCalc!P:P,MATCH(C241,FeeCalc!F:F,0)),0)</f>
        <v>6428099.0694362624</v>
      </c>
      <c r="AO241" s="87">
        <f>IFERROR(INDEX(FeeCalc!S:S,MATCH(C241,FeeCalc!F:F,0)),0)</f>
        <v>400730.57588716864</v>
      </c>
      <c r="AP241" s="87">
        <f t="shared" si="94"/>
        <v>6828829.6453234311</v>
      </c>
      <c r="AQ241" s="72">
        <f t="shared" si="95"/>
        <v>2897690.9410593826</v>
      </c>
      <c r="AR241" s="72">
        <f t="shared" si="96"/>
        <v>1448845.4705296913</v>
      </c>
      <c r="AS241" s="72">
        <f t="shared" si="97"/>
        <v>1448845.4705296913</v>
      </c>
      <c r="AT241" s="72">
        <f>IFERROR(IFERROR(INDEX('2023 IP UPL Data'!L:L,MATCH(A:A,'2023 IP UPL Data'!B:B,0)),INDEX('2023 IMD UPL Data'!I:I,MATCH(A:A,'2023 IMD UPL Data'!B:B,0))),0)</f>
        <v>3279798.7025316455</v>
      </c>
      <c r="AU241" s="72">
        <f>IFERROR(IF(F239="IMD",0,INDEX('2023 OP UPL Data'!J:J,MATCH(A:A,'2023 OP UPL Data'!B:B,0))),0)</f>
        <v>522890.2974683544</v>
      </c>
      <c r="AV241" s="45">
        <f t="shared" si="98"/>
        <v>3802689</v>
      </c>
      <c r="AW241" s="72">
        <f>IFERROR(IFERROR(INDEX('2023 IP UPL Data'!M:M,MATCH(A:A,'2023 IP UPL Data'!B:B,0)),INDEX('2023 IMD UPL Data'!K:K,MATCH(A:A,'2023 IMD UPL Data'!B:B,0))),0)</f>
        <v>4521810.6399999997</v>
      </c>
      <c r="AX241" s="72">
        <f>IFERROR(IF(F239="IMD",0,INDEX('2023 OP UPL Data'!L:L,MATCH(A:A,'2023 OP UPL Data'!B:B,0))),0)</f>
        <v>2580602.54</v>
      </c>
      <c r="AY241" s="45">
        <f t="shared" si="99"/>
        <v>7102413.1799999997</v>
      </c>
      <c r="AZ241" s="72">
        <v>9342027.7676977813</v>
      </c>
      <c r="BA241" s="72">
        <v>3305972.4719731021</v>
      </c>
      <c r="BB241" s="72">
        <f t="shared" si="100"/>
        <v>7436819.0248992154</v>
      </c>
      <c r="BC241" s="72">
        <f t="shared" si="100"/>
        <v>2329788.6494227755</v>
      </c>
      <c r="BD241" s="72">
        <f t="shared" si="101"/>
        <v>9766607.6743219905</v>
      </c>
      <c r="BE241" s="94">
        <f t="shared" si="102"/>
        <v>4820217.1276977817</v>
      </c>
      <c r="BF241" s="94">
        <f t="shared" si="102"/>
        <v>725369.93197310204</v>
      </c>
      <c r="BG241" s="73">
        <f>IFERROR(INDEX('2023 IP UPL Data'!K:K,MATCH(A241,'2023 IP UPL Data'!B:B,0)),0)</f>
        <v>0</v>
      </c>
    </row>
    <row r="242" spans="1:59">
      <c r="A242" s="124" t="s">
        <v>183</v>
      </c>
      <c r="B242" s="149" t="s">
        <v>183</v>
      </c>
      <c r="C242" s="31" t="s">
        <v>184</v>
      </c>
      <c r="D242" s="181" t="s">
        <v>184</v>
      </c>
      <c r="E242" s="144" t="s">
        <v>3533</v>
      </c>
      <c r="F242" s="120" t="s">
        <v>2718</v>
      </c>
      <c r="G242" s="120" t="s">
        <v>300</v>
      </c>
      <c r="H242" s="43" t="str">
        <f t="shared" si="82"/>
        <v>Urban Harris</v>
      </c>
      <c r="I242" s="45">
        <f>INDEX(FeeCalc!M:M,MATCH(C:C,FeeCalc!F:F,0))</f>
        <v>779019.43325191573</v>
      </c>
      <c r="J242" s="45">
        <f>INDEX(FeeCalc!L:L,MATCH(C:C,FeeCalc!F:F,0))</f>
        <v>3115993.758787157</v>
      </c>
      <c r="K242" s="45">
        <f t="shared" si="83"/>
        <v>3895013.1920390725</v>
      </c>
      <c r="L242" s="45">
        <f>IFERROR(IFERROR(INDEX('2023 IP UPL Data'!N:N,MATCH(A:A,'2023 IP UPL Data'!B:B,0)),INDEX('2023 IMD UPL Data'!M:M,MATCH(A:A,'2023 IMD UPL Data'!B:B,0))),0)</f>
        <v>1456295.2101470586</v>
      </c>
      <c r="M242" s="45">
        <f>IFERROR((IF(F242="IMD",0,INDEX('2023 OP UPL Data'!M:M,MATCH(A:A,'2023 OP UPL Data'!B:B,0)))),0)</f>
        <v>737140.09088235209</v>
      </c>
      <c r="N242" s="45">
        <f t="shared" si="84"/>
        <v>2193435.3010294107</v>
      </c>
      <c r="O242" s="45">
        <v>4812372.9169008285</v>
      </c>
      <c r="P242" s="45">
        <v>2953550.3399480986</v>
      </c>
      <c r="Q242" s="45">
        <f t="shared" si="85"/>
        <v>7765923.2568489276</v>
      </c>
      <c r="R242" s="45" t="str">
        <f t="shared" si="86"/>
        <v>Yes</v>
      </c>
      <c r="S242" s="46" t="str">
        <f t="shared" si="86"/>
        <v>Yes</v>
      </c>
      <c r="T242" s="47">
        <f>ROUND(INDEX(Summary!H:H,MATCH(H:H,Summary!A:A,0)),2)</f>
        <v>2.59</v>
      </c>
      <c r="U242" s="47">
        <f>ROUND(INDEX(Summary!I:I,MATCH(H:H,Summary!A:A,0)),2)</f>
        <v>0.85</v>
      </c>
      <c r="V242" s="85">
        <f t="shared" si="87"/>
        <v>2017660.3321224616</v>
      </c>
      <c r="W242" s="85">
        <f t="shared" si="87"/>
        <v>2648594.6949690832</v>
      </c>
      <c r="X242" s="45">
        <f t="shared" si="88"/>
        <v>4666255.0270915451</v>
      </c>
      <c r="Y242" s="45" t="s">
        <v>3223</v>
      </c>
      <c r="Z242" s="45" t="str">
        <f t="shared" si="89"/>
        <v>No</v>
      </c>
      <c r="AA242" s="45" t="str">
        <f t="shared" si="89"/>
        <v>Yes</v>
      </c>
      <c r="AB242" s="45" t="str">
        <f t="shared" si="90"/>
        <v>Yes</v>
      </c>
      <c r="AC242" s="86">
        <f t="shared" si="103"/>
        <v>2.5</v>
      </c>
      <c r="AD242" s="86">
        <f t="shared" si="104"/>
        <v>7.0000000000000007E-2</v>
      </c>
      <c r="AE242" s="45">
        <f t="shared" si="105"/>
        <v>1947548.5831297892</v>
      </c>
      <c r="AF242" s="45">
        <f t="shared" si="105"/>
        <v>218119.56311510102</v>
      </c>
      <c r="AG242" s="45">
        <f t="shared" si="91"/>
        <v>2165668.1462448901</v>
      </c>
      <c r="AH242" s="47">
        <f>IF(Y242="No",0,IFERROR(ROUNDDOWN(INDEX('90% of ACR'!K:K,MATCH(H:H,'90% of ACR'!A:A,0))*IF(I242&gt;0,IF(O242&gt;0,$R$4*MAX(O242-V242,0),0),0)/I242,2),0))</f>
        <v>0</v>
      </c>
      <c r="AI242" s="86">
        <f>IF(Y242="No",0,IFERROR(ROUNDDOWN(INDEX('90% of ACR'!R:R,MATCH(H:H,'90% of ACR'!A:A,0))*IF(J242&gt;0,IF(P242&gt;0,$R$4*MAX(P242-W242,0),0),0)/J242,2),0))</f>
        <v>0.05</v>
      </c>
      <c r="AJ242" s="45">
        <f t="shared" si="92"/>
        <v>0</v>
      </c>
      <c r="AK242" s="45">
        <f t="shared" si="92"/>
        <v>155799.68793935786</v>
      </c>
      <c r="AL242" s="47">
        <f t="shared" si="93"/>
        <v>2.59</v>
      </c>
      <c r="AM242" s="47">
        <f t="shared" si="93"/>
        <v>0.9</v>
      </c>
      <c r="AN242" s="87">
        <f>IFERROR(INDEX(FeeCalc!P:P,MATCH(C242,FeeCalc!F:F,0)),0)</f>
        <v>4822054.715030903</v>
      </c>
      <c r="AO242" s="87">
        <f>IFERROR(INDEX(FeeCalc!S:S,MATCH(C242,FeeCalc!F:F,0)),0)</f>
        <v>297422.25332443329</v>
      </c>
      <c r="AP242" s="87">
        <f t="shared" si="94"/>
        <v>5119476.9683553362</v>
      </c>
      <c r="AQ242" s="72">
        <f t="shared" si="95"/>
        <v>2172357.900936157</v>
      </c>
      <c r="AR242" s="72">
        <f t="shared" si="96"/>
        <v>1086178.9504680785</v>
      </c>
      <c r="AS242" s="72">
        <f t="shared" si="97"/>
        <v>1086178.9504680785</v>
      </c>
      <c r="AT242" s="72">
        <f>IFERROR(IFERROR(INDEX('2023 IP UPL Data'!L:L,MATCH(A:A,'2023 IP UPL Data'!B:B,0)),INDEX('2023 IMD UPL Data'!I:I,MATCH(A:A,'2023 IMD UPL Data'!B:B,0))),0)</f>
        <v>1127221.5698529412</v>
      </c>
      <c r="AU242" s="72">
        <f>IFERROR(IF(F240="IMD",0,INDEX('2023 OP UPL Data'!J:J,MATCH(A:A,'2023 OP UPL Data'!B:B,0))),0)</f>
        <v>1405919.1691176477</v>
      </c>
      <c r="AV242" s="45">
        <f t="shared" si="98"/>
        <v>2533140.7389705889</v>
      </c>
      <c r="AW242" s="72">
        <f>IFERROR(IFERROR(INDEX('2023 IP UPL Data'!M:M,MATCH(A:A,'2023 IP UPL Data'!B:B,0)),INDEX('2023 IMD UPL Data'!K:K,MATCH(A:A,'2023 IMD UPL Data'!B:B,0))),0)</f>
        <v>2583516.7799999998</v>
      </c>
      <c r="AX242" s="72">
        <f>IFERROR(IF(F240="IMD",0,INDEX('2023 OP UPL Data'!L:L,MATCH(A:A,'2023 OP UPL Data'!B:B,0))),0)</f>
        <v>2143059.2599999998</v>
      </c>
      <c r="AY242" s="45">
        <f t="shared" si="99"/>
        <v>4726576.0399999991</v>
      </c>
      <c r="AZ242" s="72">
        <v>5939594.4867537692</v>
      </c>
      <c r="BA242" s="72">
        <v>4359469.5090657463</v>
      </c>
      <c r="BB242" s="72">
        <f t="shared" si="100"/>
        <v>3921934.1546313073</v>
      </c>
      <c r="BC242" s="72">
        <f t="shared" si="100"/>
        <v>1710874.8140966631</v>
      </c>
      <c r="BD242" s="72">
        <f t="shared" si="101"/>
        <v>5632808.9687279714</v>
      </c>
      <c r="BE242" s="94">
        <f t="shared" si="102"/>
        <v>3356077.7067537694</v>
      </c>
      <c r="BF242" s="94">
        <f t="shared" si="102"/>
        <v>2216410.2490657466</v>
      </c>
      <c r="BG242" s="73">
        <f>IFERROR(INDEX('2023 IP UPL Data'!K:K,MATCH(A242,'2023 IP UPL Data'!B:B,0)),0)</f>
        <v>0</v>
      </c>
    </row>
    <row r="243" spans="1:59">
      <c r="A243" s="124" t="s">
        <v>704</v>
      </c>
      <c r="B243" s="149" t="s">
        <v>704</v>
      </c>
      <c r="C243" s="31" t="s">
        <v>705</v>
      </c>
      <c r="D243" s="181" t="s">
        <v>705</v>
      </c>
      <c r="E243" s="144" t="s">
        <v>3353</v>
      </c>
      <c r="F243" s="120" t="s">
        <v>2718</v>
      </c>
      <c r="G243" s="120" t="s">
        <v>1189</v>
      </c>
      <c r="H243" s="43" t="str">
        <f t="shared" si="82"/>
        <v>Urban El Paso</v>
      </c>
      <c r="I243" s="45">
        <f>INDEX(FeeCalc!M:M,MATCH(C:C,FeeCalc!F:F,0))</f>
        <v>19102230.303783156</v>
      </c>
      <c r="J243" s="45">
        <f>INDEX(FeeCalc!L:L,MATCH(C:C,FeeCalc!F:F,0))</f>
        <v>5022376.8173565408</v>
      </c>
      <c r="K243" s="45">
        <f t="shared" si="83"/>
        <v>24124607.121139698</v>
      </c>
      <c r="L243" s="45">
        <f>IFERROR(IFERROR(INDEX('2023 IP UPL Data'!N:N,MATCH(A:A,'2023 IP UPL Data'!B:B,0)),INDEX('2023 IMD UPL Data'!M:M,MATCH(A:A,'2023 IMD UPL Data'!B:B,0))),0)</f>
        <v>25130035.418490566</v>
      </c>
      <c r="M243" s="45">
        <f>IFERROR((IF(F243="IMD",0,INDEX('2023 OP UPL Data'!M:M,MATCH(A:A,'2023 OP UPL Data'!B:B,0)))),0)</f>
        <v>9034543.7449056599</v>
      </c>
      <c r="N243" s="45">
        <f t="shared" si="84"/>
        <v>34164579.163396224</v>
      </c>
      <c r="O243" s="45">
        <v>55889682.792982198</v>
      </c>
      <c r="P243" s="45">
        <v>16576552.961090544</v>
      </c>
      <c r="Q243" s="45">
        <f t="shared" si="85"/>
        <v>72466235.754072741</v>
      </c>
      <c r="R243" s="45" t="str">
        <f t="shared" si="86"/>
        <v>Yes</v>
      </c>
      <c r="S243" s="46" t="str">
        <f t="shared" si="86"/>
        <v>Yes</v>
      </c>
      <c r="T243" s="47">
        <f>ROUND(INDEX(Summary!H:H,MATCH(H:H,Summary!A:A,0)),2)</f>
        <v>0.48</v>
      </c>
      <c r="U243" s="47">
        <f>ROUND(INDEX(Summary!I:I,MATCH(H:H,Summary!A:A,0)),2)</f>
        <v>0.92</v>
      </c>
      <c r="V243" s="85">
        <f t="shared" si="87"/>
        <v>9169070.5458159149</v>
      </c>
      <c r="W243" s="85">
        <f t="shared" si="87"/>
        <v>4620586.6719680177</v>
      </c>
      <c r="X243" s="45">
        <f t="shared" si="88"/>
        <v>13789657.217783932</v>
      </c>
      <c r="Y243" s="45" t="s">
        <v>3223</v>
      </c>
      <c r="Z243" s="45" t="str">
        <f t="shared" si="89"/>
        <v>Yes</v>
      </c>
      <c r="AA243" s="45" t="str">
        <f t="shared" si="89"/>
        <v>Yes</v>
      </c>
      <c r="AB243" s="45" t="str">
        <f t="shared" si="90"/>
        <v>Yes</v>
      </c>
      <c r="AC243" s="86">
        <f t="shared" si="103"/>
        <v>1.7</v>
      </c>
      <c r="AD243" s="86">
        <f t="shared" si="104"/>
        <v>1.66</v>
      </c>
      <c r="AE243" s="45">
        <f t="shared" si="105"/>
        <v>32473791.516431365</v>
      </c>
      <c r="AF243" s="45">
        <f t="shared" si="105"/>
        <v>8337145.516811857</v>
      </c>
      <c r="AG243" s="45">
        <f t="shared" si="91"/>
        <v>40810937.033243224</v>
      </c>
      <c r="AH243" s="47">
        <f>IF(Y243="No",0,IFERROR(ROUNDDOWN(INDEX('90% of ACR'!K:K,MATCH(H:H,'90% of ACR'!A:A,0))*IF(I243&gt;0,IF(O243&gt;0,$R$4*MAX(O243-V243,0),0),0)/I243,2),0))</f>
        <v>1.45</v>
      </c>
      <c r="AI243" s="86">
        <f>IF(Y243="No",0,IFERROR(ROUNDDOWN(INDEX('90% of ACR'!R:R,MATCH(H:H,'90% of ACR'!A:A,0))*IF(J243&gt;0,IF(P243&gt;0,$R$4*MAX(P243-W243,0),0),0)/J243,2),0))</f>
        <v>1.65</v>
      </c>
      <c r="AJ243" s="45">
        <f t="shared" si="92"/>
        <v>27698233.940485574</v>
      </c>
      <c r="AK243" s="45">
        <f t="shared" si="92"/>
        <v>8286921.7486382918</v>
      </c>
      <c r="AL243" s="47">
        <f t="shared" si="93"/>
        <v>1.93</v>
      </c>
      <c r="AM243" s="47">
        <f t="shared" si="93"/>
        <v>2.57</v>
      </c>
      <c r="AN243" s="87">
        <f>IFERROR(INDEX(FeeCalc!P:P,MATCH(C243,FeeCalc!F:F,0)),0)</f>
        <v>49774812.906907797</v>
      </c>
      <c r="AO243" s="87">
        <f>IFERROR(INDEX(FeeCalc!S:S,MATCH(C243,FeeCalc!F:F,0)),0)</f>
        <v>3071806.7246561255</v>
      </c>
      <c r="AP243" s="87">
        <f t="shared" si="94"/>
        <v>52846619.631563924</v>
      </c>
      <c r="AQ243" s="72">
        <f t="shared" si="95"/>
        <v>22424511.801500786</v>
      </c>
      <c r="AR243" s="72">
        <f t="shared" si="96"/>
        <v>11212255.900750393</v>
      </c>
      <c r="AS243" s="72">
        <f t="shared" si="97"/>
        <v>11212255.900750393</v>
      </c>
      <c r="AT243" s="72">
        <f>IFERROR(IFERROR(INDEX('2023 IP UPL Data'!L:L,MATCH(A:A,'2023 IP UPL Data'!B:B,0)),INDEX('2023 IMD UPL Data'!I:I,MATCH(A:A,'2023 IMD UPL Data'!B:B,0))),0)</f>
        <v>19044403.641509436</v>
      </c>
      <c r="AU243" s="72">
        <f>IFERROR(IF(F241="IMD",0,INDEX('2023 OP UPL Data'!J:J,MATCH(A:A,'2023 OP UPL Data'!B:B,0))),0)</f>
        <v>2914681.4150943402</v>
      </c>
      <c r="AV243" s="45">
        <f t="shared" si="98"/>
        <v>21959085.056603774</v>
      </c>
      <c r="AW243" s="72">
        <f>IFERROR(IFERROR(INDEX('2023 IP UPL Data'!M:M,MATCH(A:A,'2023 IP UPL Data'!B:B,0)),INDEX('2023 IMD UPL Data'!K:K,MATCH(A:A,'2023 IMD UPL Data'!B:B,0))),0)</f>
        <v>44174439.060000002</v>
      </c>
      <c r="AX243" s="72">
        <f>IFERROR(IF(F241="IMD",0,INDEX('2023 OP UPL Data'!L:L,MATCH(A:A,'2023 OP UPL Data'!B:B,0))),0)</f>
        <v>11949225.16</v>
      </c>
      <c r="AY243" s="45">
        <f t="shared" si="99"/>
        <v>56123664.219999999</v>
      </c>
      <c r="AZ243" s="72">
        <v>74934086.434491634</v>
      </c>
      <c r="BA243" s="72">
        <v>19491234.376184884</v>
      </c>
      <c r="BB243" s="72">
        <f t="shared" si="100"/>
        <v>65765015.888675719</v>
      </c>
      <c r="BC243" s="72">
        <f t="shared" si="100"/>
        <v>14870647.704216868</v>
      </c>
      <c r="BD243" s="72">
        <f t="shared" si="101"/>
        <v>80635663.592892587</v>
      </c>
      <c r="BE243" s="94">
        <f t="shared" si="102"/>
        <v>30759647.374491632</v>
      </c>
      <c r="BF243" s="94">
        <f t="shared" si="102"/>
        <v>7542009.2161848843</v>
      </c>
      <c r="BG243" s="73">
        <f>IFERROR(INDEX('2023 IP UPL Data'!K:K,MATCH(A243,'2023 IP UPL Data'!B:B,0)),0)</f>
        <v>0</v>
      </c>
    </row>
    <row r="244" spans="1:59" ht="25.5">
      <c r="A244" s="124" t="s">
        <v>1313</v>
      </c>
      <c r="B244" s="149" t="s">
        <v>1313</v>
      </c>
      <c r="C244" s="31" t="s">
        <v>1314</v>
      </c>
      <c r="D244" s="181" t="s">
        <v>1314</v>
      </c>
      <c r="E244" s="144" t="s">
        <v>3335</v>
      </c>
      <c r="F244" s="120" t="s">
        <v>3069</v>
      </c>
      <c r="G244" s="120" t="s">
        <v>300</v>
      </c>
      <c r="H244" s="43" t="str">
        <f t="shared" si="82"/>
        <v>Non-state-owned IMD Harris</v>
      </c>
      <c r="I244" s="45">
        <f>INDEX(FeeCalc!M:M,MATCH(C:C,FeeCalc!F:F,0))</f>
        <v>3669234.8156919563</v>
      </c>
      <c r="J244" s="45">
        <f>INDEX(FeeCalc!L:L,MATCH(C:C,FeeCalc!F:F,0))</f>
        <v>0</v>
      </c>
      <c r="K244" s="45">
        <f t="shared" si="83"/>
        <v>3669234.8156919563</v>
      </c>
      <c r="L244" s="45">
        <f>IFERROR(IFERROR(INDEX('2023 IP UPL Data'!N:N,MATCH(A:A,'2023 IP UPL Data'!B:B,0)),INDEX('2023 IMD UPL Data'!M:M,MATCH(A:A,'2023 IMD UPL Data'!B:B,0))),0)</f>
        <v>0</v>
      </c>
      <c r="M244" s="45">
        <f>IFERROR((IF(F244="IMD",0,INDEX('2023 OP UPL Data'!M:M,MATCH(A:A,'2023 OP UPL Data'!B:B,0)))),0)</f>
        <v>0</v>
      </c>
      <c r="N244" s="45">
        <f t="shared" si="84"/>
        <v>0</v>
      </c>
      <c r="O244" s="45">
        <v>0</v>
      </c>
      <c r="P244" s="45">
        <v>0</v>
      </c>
      <c r="Q244" s="45">
        <f t="shared" si="85"/>
        <v>0</v>
      </c>
      <c r="R244" s="45" t="str">
        <f t="shared" si="86"/>
        <v>No</v>
      </c>
      <c r="S244" s="46" t="str">
        <f t="shared" si="86"/>
        <v>No</v>
      </c>
      <c r="T244" s="47">
        <f>ROUND(INDEX(Summary!H:H,MATCH(H:H,Summary!A:A,0)),2)</f>
        <v>0.44</v>
      </c>
      <c r="U244" s="47">
        <f>ROUND(INDEX(Summary!I:I,MATCH(H:H,Summary!A:A,0)),2)</f>
        <v>0</v>
      </c>
      <c r="V244" s="85">
        <f t="shared" si="87"/>
        <v>1614463.3189044609</v>
      </c>
      <c r="W244" s="85">
        <f t="shared" si="87"/>
        <v>0</v>
      </c>
      <c r="X244" s="45">
        <f t="shared" si="88"/>
        <v>1614463.3189044609</v>
      </c>
      <c r="Y244" s="45" t="s">
        <v>3223</v>
      </c>
      <c r="Z244" s="45" t="str">
        <f t="shared" si="89"/>
        <v>No</v>
      </c>
      <c r="AA244" s="45" t="str">
        <f t="shared" si="89"/>
        <v>No</v>
      </c>
      <c r="AB244" s="45" t="str">
        <f t="shared" si="90"/>
        <v>No</v>
      </c>
      <c r="AC244" s="86">
        <f t="shared" si="103"/>
        <v>0</v>
      </c>
      <c r="AD244" s="86">
        <f t="shared" si="104"/>
        <v>0</v>
      </c>
      <c r="AE244" s="45">
        <f t="shared" si="105"/>
        <v>0</v>
      </c>
      <c r="AF244" s="45">
        <f t="shared" si="105"/>
        <v>0</v>
      </c>
      <c r="AG244" s="45">
        <f t="shared" si="91"/>
        <v>0</v>
      </c>
      <c r="AH244" s="47">
        <f>IF(Y244="No",0,IFERROR(ROUNDDOWN(INDEX('90% of ACR'!K:K,MATCH(H:H,'90% of ACR'!A:A,0))*IF(I244&gt;0,IF(O244&gt;0,$R$4*MAX(O244-V244,0),0),0)/I244,2),0))</f>
        <v>0</v>
      </c>
      <c r="AI244" s="86">
        <f>IF(Y244="No",0,IFERROR(ROUNDDOWN(INDEX('90% of ACR'!R:R,MATCH(H:H,'90% of ACR'!A:A,0))*IF(J244&gt;0,IF(P244&gt;0,$R$4*MAX(P244-W244,0),0),0)/J244,2),0))</f>
        <v>0</v>
      </c>
      <c r="AJ244" s="45">
        <f t="shared" si="92"/>
        <v>0</v>
      </c>
      <c r="AK244" s="45">
        <f t="shared" si="92"/>
        <v>0</v>
      </c>
      <c r="AL244" s="47">
        <f t="shared" si="93"/>
        <v>0.44</v>
      </c>
      <c r="AM244" s="47">
        <f t="shared" si="93"/>
        <v>0</v>
      </c>
      <c r="AN244" s="87">
        <f>IFERROR(INDEX(FeeCalc!P:P,MATCH(C244,FeeCalc!F:F,0)),0)</f>
        <v>1614463.3189044609</v>
      </c>
      <c r="AO244" s="87">
        <f>IFERROR(INDEX(FeeCalc!S:S,MATCH(C244,FeeCalc!F:F,0)),0)</f>
        <v>98495.109641386211</v>
      </c>
      <c r="AP244" s="87">
        <f t="shared" si="94"/>
        <v>1712958.4285458471</v>
      </c>
      <c r="AQ244" s="72">
        <f t="shared" si="95"/>
        <v>726863.07590171648</v>
      </c>
      <c r="AR244" s="72">
        <f t="shared" si="96"/>
        <v>363431.53795085824</v>
      </c>
      <c r="AS244" s="72">
        <f t="shared" si="97"/>
        <v>363431.53795085824</v>
      </c>
      <c r="AT244" s="72">
        <f>IFERROR(IFERROR(INDEX('2023 IP UPL Data'!L:L,MATCH(A:A,'2023 IP UPL Data'!B:B,0)),INDEX('2023 IMD UPL Data'!I:I,MATCH(A:A,'2023 IMD UPL Data'!B:B,0))),0)</f>
        <v>0</v>
      </c>
      <c r="AU244" s="72">
        <f>IFERROR(IF(F242="IMD",0,INDEX('2023 OP UPL Data'!J:J,MATCH(A:A,'2023 OP UPL Data'!B:B,0))),0)</f>
        <v>0</v>
      </c>
      <c r="AV244" s="45">
        <f t="shared" si="98"/>
        <v>0</v>
      </c>
      <c r="AW244" s="72">
        <f>IFERROR(IFERROR(INDEX('2023 IP UPL Data'!M:M,MATCH(A:A,'2023 IP UPL Data'!B:B,0)),INDEX('2023 IMD UPL Data'!K:K,MATCH(A:A,'2023 IMD UPL Data'!B:B,0))),0)</f>
        <v>0</v>
      </c>
      <c r="AX244" s="72">
        <f>IFERROR(IF(F242="IMD",0,INDEX('2023 OP UPL Data'!L:L,MATCH(A:A,'2023 OP UPL Data'!B:B,0))),0)</f>
        <v>0</v>
      </c>
      <c r="AY244" s="45">
        <f t="shared" si="99"/>
        <v>0</v>
      </c>
      <c r="AZ244" s="72">
        <v>0</v>
      </c>
      <c r="BA244" s="72">
        <v>0</v>
      </c>
      <c r="BB244" s="72">
        <f t="shared" si="100"/>
        <v>0</v>
      </c>
      <c r="BC244" s="72">
        <f t="shared" si="100"/>
        <v>0</v>
      </c>
      <c r="BD244" s="72">
        <f t="shared" si="101"/>
        <v>0</v>
      </c>
      <c r="BE244" s="94">
        <f t="shared" si="102"/>
        <v>0</v>
      </c>
      <c r="BF244" s="94">
        <f t="shared" si="102"/>
        <v>0</v>
      </c>
      <c r="BG244" s="73">
        <f>IFERROR(INDEX('2023 IP UPL Data'!K:K,MATCH(A244,'2023 IP UPL Data'!B:B,0)),0)</f>
        <v>0</v>
      </c>
    </row>
    <row r="245" spans="1:59">
      <c r="A245" s="124" t="s">
        <v>889</v>
      </c>
      <c r="B245" s="149" t="s">
        <v>889</v>
      </c>
      <c r="C245" s="31" t="s">
        <v>890</v>
      </c>
      <c r="D245" s="181" t="s">
        <v>890</v>
      </c>
      <c r="E245" s="144" t="s">
        <v>3385</v>
      </c>
      <c r="F245" s="120" t="s">
        <v>2718</v>
      </c>
      <c r="G245" s="120" t="s">
        <v>227</v>
      </c>
      <c r="H245" s="43" t="str">
        <f t="shared" si="82"/>
        <v>Urban MRSA West</v>
      </c>
      <c r="I245" s="45">
        <f>INDEX(FeeCalc!M:M,MATCH(C:C,FeeCalc!F:F,0))</f>
        <v>5631036.2866449375</v>
      </c>
      <c r="J245" s="45">
        <f>INDEX(FeeCalc!L:L,MATCH(C:C,FeeCalc!F:F,0))</f>
        <v>5605043.7235346008</v>
      </c>
      <c r="K245" s="45">
        <f t="shared" si="83"/>
        <v>11236080.010179538</v>
      </c>
      <c r="L245" s="45">
        <f>IFERROR(IFERROR(INDEX('2023 IP UPL Data'!N:N,MATCH(A:A,'2023 IP UPL Data'!B:B,0)),INDEX('2023 IMD UPL Data'!M:M,MATCH(A:A,'2023 IMD UPL Data'!B:B,0))),0)</f>
        <v>-9266833.9680662993</v>
      </c>
      <c r="M245" s="45">
        <f>IFERROR((IF(F245="IMD",0,INDEX('2023 OP UPL Data'!M:M,MATCH(A:A,'2023 OP UPL Data'!B:B,0)))),0)</f>
        <v>5231809.3758011051</v>
      </c>
      <c r="N245" s="45">
        <f t="shared" si="84"/>
        <v>-4035024.5922651943</v>
      </c>
      <c r="O245" s="45">
        <v>-5940811.9694232699</v>
      </c>
      <c r="P245" s="45">
        <v>9537617.6474281903</v>
      </c>
      <c r="Q245" s="45">
        <f t="shared" si="85"/>
        <v>3596805.6780049205</v>
      </c>
      <c r="R245" s="45" t="str">
        <f t="shared" si="86"/>
        <v>No</v>
      </c>
      <c r="S245" s="46" t="str">
        <f t="shared" si="86"/>
        <v>Yes</v>
      </c>
      <c r="T245" s="47">
        <f>ROUND(INDEX(Summary!H:H,MATCH(H:H,Summary!A:A,0)),2)</f>
        <v>0.43</v>
      </c>
      <c r="U245" s="47">
        <f>ROUND(INDEX(Summary!I:I,MATCH(H:H,Summary!A:A,0)),2)</f>
        <v>1.18</v>
      </c>
      <c r="V245" s="85">
        <f t="shared" si="87"/>
        <v>2421345.6032573231</v>
      </c>
      <c r="W245" s="85">
        <f t="shared" si="87"/>
        <v>6613951.593770829</v>
      </c>
      <c r="X245" s="45">
        <f t="shared" si="88"/>
        <v>9035297.1970281526</v>
      </c>
      <c r="Y245" s="45" t="s">
        <v>3223</v>
      </c>
      <c r="Z245" s="45" t="str">
        <f t="shared" si="89"/>
        <v>No</v>
      </c>
      <c r="AA245" s="45" t="str">
        <f t="shared" si="89"/>
        <v>Yes</v>
      </c>
      <c r="AB245" s="45" t="str">
        <f t="shared" si="90"/>
        <v>Yes</v>
      </c>
      <c r="AC245" s="86">
        <f t="shared" si="103"/>
        <v>0</v>
      </c>
      <c r="AD245" s="86">
        <f t="shared" si="104"/>
        <v>0.36</v>
      </c>
      <c r="AE245" s="45">
        <f t="shared" si="105"/>
        <v>0</v>
      </c>
      <c r="AF245" s="45">
        <f t="shared" si="105"/>
        <v>2017815.7404724562</v>
      </c>
      <c r="AG245" s="45">
        <f t="shared" si="91"/>
        <v>2017815.7404724562</v>
      </c>
      <c r="AH245" s="47">
        <f>IF(Y245="No",0,IFERROR(ROUNDDOWN(INDEX('90% of ACR'!K:K,MATCH(H:H,'90% of ACR'!A:A,0))*IF(I245&gt;0,IF(O245&gt;0,$R$4*MAX(O245-V245,0),0),0)/I245,2),0))</f>
        <v>0</v>
      </c>
      <c r="AI245" s="86">
        <f>IF(Y245="No",0,IFERROR(ROUNDDOWN(INDEX('90% of ACR'!R:R,MATCH(H:H,'90% of ACR'!A:A,0))*IF(J245&gt;0,IF(P245&gt;0,$R$4*MAX(P245-W245,0),0),0)/J245,2),0))</f>
        <v>0.34</v>
      </c>
      <c r="AJ245" s="45">
        <f t="shared" si="92"/>
        <v>0</v>
      </c>
      <c r="AK245" s="45">
        <f t="shared" si="92"/>
        <v>1905714.8660017643</v>
      </c>
      <c r="AL245" s="47">
        <f t="shared" si="93"/>
        <v>0.43</v>
      </c>
      <c r="AM245" s="47">
        <f t="shared" si="93"/>
        <v>1.52</v>
      </c>
      <c r="AN245" s="87">
        <f>IFERROR(INDEX(FeeCalc!P:P,MATCH(C245,FeeCalc!F:F,0)),0)</f>
        <v>10941012.063029915</v>
      </c>
      <c r="AO245" s="87">
        <f>IFERROR(INDEX(FeeCalc!S:S,MATCH(C245,FeeCalc!F:F,0)),0)</f>
        <v>673642.53760392102</v>
      </c>
      <c r="AP245" s="87">
        <f t="shared" si="94"/>
        <v>11614654.600633835</v>
      </c>
      <c r="AQ245" s="72">
        <f t="shared" si="95"/>
        <v>4928469.6159961568</v>
      </c>
      <c r="AR245" s="72">
        <f t="shared" si="96"/>
        <v>2464234.8079980784</v>
      </c>
      <c r="AS245" s="72">
        <f t="shared" si="97"/>
        <v>2464234.8079980784</v>
      </c>
      <c r="AT245" s="72">
        <f>IFERROR(IFERROR(INDEX('2023 IP UPL Data'!L:L,MATCH(A:A,'2023 IP UPL Data'!B:B,0)),INDEX('2023 IMD UPL Data'!I:I,MATCH(A:A,'2023 IMD UPL Data'!B:B,0))),0)</f>
        <v>18428011.5980663</v>
      </c>
      <c r="AU245" s="72">
        <f>IFERROR(IF(F243="IMD",0,INDEX('2023 OP UPL Data'!J:J,MATCH(A:A,'2023 OP UPL Data'!B:B,0))),0)</f>
        <v>2470166.0441988949</v>
      </c>
      <c r="AV245" s="45">
        <f t="shared" si="98"/>
        <v>20898177.642265193</v>
      </c>
      <c r="AW245" s="72">
        <f>IFERROR(IFERROR(INDEX('2023 IP UPL Data'!M:M,MATCH(A:A,'2023 IP UPL Data'!B:B,0)),INDEX('2023 IMD UPL Data'!K:K,MATCH(A:A,'2023 IMD UPL Data'!B:B,0))),0)</f>
        <v>9161177.6300000008</v>
      </c>
      <c r="AX245" s="72">
        <f>IFERROR(IF(F243="IMD",0,INDEX('2023 OP UPL Data'!L:L,MATCH(A:A,'2023 OP UPL Data'!B:B,0))),0)</f>
        <v>7701975.4199999999</v>
      </c>
      <c r="AY245" s="45">
        <f t="shared" si="99"/>
        <v>16863153.050000001</v>
      </c>
      <c r="AZ245" s="72">
        <v>12487199.62864303</v>
      </c>
      <c r="BA245" s="72">
        <v>12007783.691627085</v>
      </c>
      <c r="BB245" s="72">
        <f t="shared" si="100"/>
        <v>10065854.025385708</v>
      </c>
      <c r="BC245" s="72">
        <f t="shared" si="100"/>
        <v>5393832.0978562562</v>
      </c>
      <c r="BD245" s="72">
        <f t="shared" si="101"/>
        <v>15459686.123241961</v>
      </c>
      <c r="BE245" s="94">
        <f t="shared" si="102"/>
        <v>3326021.9986430295</v>
      </c>
      <c r="BF245" s="94">
        <f t="shared" si="102"/>
        <v>4305808.2716270853</v>
      </c>
      <c r="BG245" s="73">
        <f>IFERROR(INDEX('2023 IP UPL Data'!K:K,MATCH(A245,'2023 IP UPL Data'!B:B,0)),0)</f>
        <v>13199494.25</v>
      </c>
    </row>
    <row r="246" spans="1:59">
      <c r="A246" s="124" t="s">
        <v>605</v>
      </c>
      <c r="B246" s="149" t="s">
        <v>605</v>
      </c>
      <c r="C246" s="31" t="s">
        <v>606</v>
      </c>
      <c r="D246" s="181" t="s">
        <v>606</v>
      </c>
      <c r="E246" s="144" t="s">
        <v>2967</v>
      </c>
      <c r="F246" s="120" t="s">
        <v>2718</v>
      </c>
      <c r="G246" s="120" t="s">
        <v>223</v>
      </c>
      <c r="H246" s="43" t="str">
        <f t="shared" si="82"/>
        <v>Urban Dallas</v>
      </c>
      <c r="I246" s="45">
        <f>INDEX(FeeCalc!M:M,MATCH(C:C,FeeCalc!F:F,0))</f>
        <v>5917350.4750417247</v>
      </c>
      <c r="J246" s="45">
        <f>INDEX(FeeCalc!L:L,MATCH(C:C,FeeCalc!F:F,0))</f>
        <v>1499052.7133830069</v>
      </c>
      <c r="K246" s="45">
        <f t="shared" si="83"/>
        <v>7416403.1884247316</v>
      </c>
      <c r="L246" s="45">
        <f>IFERROR(IFERROR(INDEX('2023 IP UPL Data'!N:N,MATCH(A:A,'2023 IP UPL Data'!B:B,0)),INDEX('2023 IMD UPL Data'!M:M,MATCH(A:A,'2023 IMD UPL Data'!B:B,0))),0)</f>
        <v>5438676.9559036158</v>
      </c>
      <c r="M246" s="45">
        <f>IFERROR((IF(F246="IMD",0,INDEX('2023 OP UPL Data'!M:M,MATCH(A:A,'2023 OP UPL Data'!B:B,0)))),0)</f>
        <v>2617905.3283132529</v>
      </c>
      <c r="N246" s="45">
        <f t="shared" si="84"/>
        <v>8056582.2842168687</v>
      </c>
      <c r="O246" s="45">
        <v>16729880.695333291</v>
      </c>
      <c r="P246" s="45">
        <v>4752795.0272091376</v>
      </c>
      <c r="Q246" s="45">
        <f t="shared" si="85"/>
        <v>21482675.722542427</v>
      </c>
      <c r="R246" s="45" t="str">
        <f t="shared" si="86"/>
        <v>Yes</v>
      </c>
      <c r="S246" s="46" t="str">
        <f t="shared" si="86"/>
        <v>Yes</v>
      </c>
      <c r="T246" s="47">
        <f>ROUND(INDEX(Summary!H:H,MATCH(H:H,Summary!A:A,0)),2)</f>
        <v>1.2</v>
      </c>
      <c r="U246" s="47">
        <f>ROUND(INDEX(Summary!I:I,MATCH(H:H,Summary!A:A,0)),2)</f>
        <v>1.08</v>
      </c>
      <c r="V246" s="85">
        <f t="shared" si="87"/>
        <v>7100820.5700500691</v>
      </c>
      <c r="W246" s="85">
        <f t="shared" si="87"/>
        <v>1618976.9304536476</v>
      </c>
      <c r="X246" s="45">
        <f t="shared" si="88"/>
        <v>8719797.500503717</v>
      </c>
      <c r="Y246" s="45" t="s">
        <v>3223</v>
      </c>
      <c r="Z246" s="45" t="str">
        <f t="shared" si="89"/>
        <v>Yes</v>
      </c>
      <c r="AA246" s="45" t="str">
        <f t="shared" si="89"/>
        <v>Yes</v>
      </c>
      <c r="AB246" s="45" t="str">
        <f t="shared" si="90"/>
        <v>Yes</v>
      </c>
      <c r="AC246" s="86">
        <f t="shared" si="103"/>
        <v>1.1299999999999999</v>
      </c>
      <c r="AD246" s="86">
        <f t="shared" si="104"/>
        <v>1.46</v>
      </c>
      <c r="AE246" s="45">
        <f t="shared" si="105"/>
        <v>6686606.0367971482</v>
      </c>
      <c r="AF246" s="45">
        <f t="shared" si="105"/>
        <v>2188616.9615391898</v>
      </c>
      <c r="AG246" s="45">
        <f t="shared" si="91"/>
        <v>8875222.9983363375</v>
      </c>
      <c r="AH246" s="47">
        <f>IF(Y246="No",0,IFERROR(ROUNDDOWN(INDEX('90% of ACR'!K:K,MATCH(H:H,'90% of ACR'!A:A,0))*IF(I246&gt;0,IF(O246&gt;0,$R$4*MAX(O246-V246,0),0),0)/I246,2),0))</f>
        <v>1.0900000000000001</v>
      </c>
      <c r="AI246" s="86">
        <f>IF(Y246="No",0,IFERROR(ROUNDDOWN(INDEX('90% of ACR'!R:R,MATCH(H:H,'90% of ACR'!A:A,0))*IF(J246&gt;0,IF(P246&gt;0,$R$4*MAX(P246-W246,0),0),0)/J246,2),0))</f>
        <v>1.45</v>
      </c>
      <c r="AJ246" s="45">
        <f t="shared" si="92"/>
        <v>6449912.0177954808</v>
      </c>
      <c r="AK246" s="45">
        <f t="shared" si="92"/>
        <v>2173626.4344053599</v>
      </c>
      <c r="AL246" s="47">
        <f t="shared" si="93"/>
        <v>2.29</v>
      </c>
      <c r="AM246" s="47">
        <f t="shared" si="93"/>
        <v>2.5300000000000002</v>
      </c>
      <c r="AN246" s="87">
        <f>IFERROR(INDEX(FeeCalc!P:P,MATCH(C246,FeeCalc!F:F,0)),0)</f>
        <v>17343335.952704556</v>
      </c>
      <c r="AO246" s="87">
        <f>IFERROR(INDEX(FeeCalc!S:S,MATCH(C246,FeeCalc!F:F,0)),0)</f>
        <v>1074314.779852987</v>
      </c>
      <c r="AP246" s="87">
        <f t="shared" si="94"/>
        <v>18417650.732557543</v>
      </c>
      <c r="AQ246" s="72">
        <f t="shared" si="95"/>
        <v>7815198.5706476076</v>
      </c>
      <c r="AR246" s="72">
        <f t="shared" si="96"/>
        <v>3907599.2853238038</v>
      </c>
      <c r="AS246" s="72">
        <f t="shared" si="97"/>
        <v>3907599.2853238038</v>
      </c>
      <c r="AT246" s="72">
        <f>IFERROR(IFERROR(INDEX('2023 IP UPL Data'!L:L,MATCH(A:A,'2023 IP UPL Data'!B:B,0)),INDEX('2023 IMD UPL Data'!I:I,MATCH(A:A,'2023 IMD UPL Data'!B:B,0))),0)</f>
        <v>6604725.5240963846</v>
      </c>
      <c r="AU246" s="72">
        <f>IFERROR(IF(F244="IMD",0,INDEX('2023 OP UPL Data'!J:J,MATCH(A:A,'2023 OP UPL Data'!B:B,0))),0)</f>
        <v>939665.92168674688</v>
      </c>
      <c r="AV246" s="45">
        <f t="shared" si="98"/>
        <v>7544391.4457831318</v>
      </c>
      <c r="AW246" s="72">
        <f>IFERROR(IFERROR(INDEX('2023 IP UPL Data'!M:M,MATCH(A:A,'2023 IP UPL Data'!B:B,0)),INDEX('2023 IMD UPL Data'!K:K,MATCH(A:A,'2023 IMD UPL Data'!B:B,0))),0)</f>
        <v>12043402.48</v>
      </c>
      <c r="AX246" s="72">
        <f>IFERROR(IF(F244="IMD",0,INDEX('2023 OP UPL Data'!L:L,MATCH(A:A,'2023 OP UPL Data'!B:B,0))),0)</f>
        <v>3557571.25</v>
      </c>
      <c r="AY246" s="45">
        <f t="shared" si="99"/>
        <v>15600973.73</v>
      </c>
      <c r="AZ246" s="72">
        <v>23334606.219429675</v>
      </c>
      <c r="BA246" s="72">
        <v>5692460.9488958847</v>
      </c>
      <c r="BB246" s="72">
        <f t="shared" si="100"/>
        <v>16233785.649379607</v>
      </c>
      <c r="BC246" s="72">
        <f t="shared" si="100"/>
        <v>4073484.0184422368</v>
      </c>
      <c r="BD246" s="72">
        <f t="shared" si="101"/>
        <v>20307269.667821839</v>
      </c>
      <c r="BE246" s="94">
        <f t="shared" si="102"/>
        <v>11291203.739429675</v>
      </c>
      <c r="BF246" s="94">
        <f t="shared" si="102"/>
        <v>2134889.6988958847</v>
      </c>
      <c r="BG246" s="73">
        <f>IFERROR(INDEX('2023 IP UPL Data'!K:K,MATCH(A246,'2023 IP UPL Data'!B:B,0)),0)</f>
        <v>0</v>
      </c>
    </row>
    <row r="247" spans="1:59">
      <c r="A247" s="124" t="s">
        <v>635</v>
      </c>
      <c r="B247" s="149" t="s">
        <v>635</v>
      </c>
      <c r="C247" s="31" t="s">
        <v>636</v>
      </c>
      <c r="D247" s="181" t="s">
        <v>636</v>
      </c>
      <c r="E247" s="144" t="s">
        <v>2964</v>
      </c>
      <c r="F247" s="120" t="s">
        <v>2718</v>
      </c>
      <c r="G247" s="120" t="s">
        <v>1366</v>
      </c>
      <c r="H247" s="43" t="str">
        <f t="shared" si="82"/>
        <v>Urban Tarrant</v>
      </c>
      <c r="I247" s="45">
        <f>INDEX(FeeCalc!M:M,MATCH(C:C,FeeCalc!F:F,0))</f>
        <v>1732628.4670440916</v>
      </c>
      <c r="J247" s="45">
        <f>INDEX(FeeCalc!L:L,MATCH(C:C,FeeCalc!F:F,0))</f>
        <v>1313491.4807187985</v>
      </c>
      <c r="K247" s="45">
        <f t="shared" si="83"/>
        <v>3046119.9477628898</v>
      </c>
      <c r="L247" s="45">
        <f>IFERROR(IFERROR(INDEX('2023 IP UPL Data'!N:N,MATCH(A:A,'2023 IP UPL Data'!B:B,0)),INDEX('2023 IMD UPL Data'!M:M,MATCH(A:A,'2023 IMD UPL Data'!B:B,0))),0)</f>
        <v>2400683.30375</v>
      </c>
      <c r="M247" s="45">
        <f>IFERROR((IF(F247="IMD",0,INDEX('2023 OP UPL Data'!M:M,MATCH(A:A,'2023 OP UPL Data'!B:B,0)))),0)</f>
        <v>2229173.1412499999</v>
      </c>
      <c r="N247" s="45">
        <f t="shared" si="84"/>
        <v>4629856.4450000003</v>
      </c>
      <c r="O247" s="45">
        <v>7705372.9226946468</v>
      </c>
      <c r="P247" s="45">
        <v>3545461.0565660181</v>
      </c>
      <c r="Q247" s="45">
        <f t="shared" si="85"/>
        <v>11250833.979260664</v>
      </c>
      <c r="R247" s="45" t="str">
        <f t="shared" si="86"/>
        <v>Yes</v>
      </c>
      <c r="S247" s="46" t="str">
        <f t="shared" si="86"/>
        <v>Yes</v>
      </c>
      <c r="T247" s="47">
        <f>ROUND(INDEX(Summary!H:H,MATCH(H:H,Summary!A:A,0)),2)</f>
        <v>1.68</v>
      </c>
      <c r="U247" s="47">
        <f>ROUND(INDEX(Summary!I:I,MATCH(H:H,Summary!A:A,0)),2)</f>
        <v>1.42</v>
      </c>
      <c r="V247" s="85">
        <f t="shared" si="87"/>
        <v>2910815.8246340738</v>
      </c>
      <c r="W247" s="85">
        <f t="shared" si="87"/>
        <v>1865157.9026206937</v>
      </c>
      <c r="X247" s="45">
        <f t="shared" si="88"/>
        <v>4775973.727254767</v>
      </c>
      <c r="Y247" s="45" t="s">
        <v>3223</v>
      </c>
      <c r="Z247" s="45" t="str">
        <f t="shared" si="89"/>
        <v>Yes</v>
      </c>
      <c r="AA247" s="45" t="str">
        <f t="shared" si="89"/>
        <v>Yes</v>
      </c>
      <c r="AB247" s="45" t="str">
        <f t="shared" si="90"/>
        <v>Yes</v>
      </c>
      <c r="AC247" s="86">
        <f t="shared" si="103"/>
        <v>1.93</v>
      </c>
      <c r="AD247" s="86">
        <f t="shared" si="104"/>
        <v>0.89</v>
      </c>
      <c r="AE247" s="45">
        <f t="shared" si="105"/>
        <v>3343972.9413950965</v>
      </c>
      <c r="AF247" s="45">
        <f t="shared" si="105"/>
        <v>1169007.4178397306</v>
      </c>
      <c r="AG247" s="45">
        <f t="shared" si="91"/>
        <v>4512980.3592348266</v>
      </c>
      <c r="AH247" s="47">
        <f>IF(Y247="No",0,IFERROR(ROUNDDOWN(INDEX('90% of ACR'!K:K,MATCH(H:H,'90% of ACR'!A:A,0))*IF(I247&gt;0,IF(O247&gt;0,$R$4*MAX(O247-V247,0),0),0)/I247,2),0))</f>
        <v>1.92</v>
      </c>
      <c r="AI247" s="86">
        <f>IF(Y247="No",0,IFERROR(ROUNDDOWN(INDEX('90% of ACR'!R:R,MATCH(H:H,'90% of ACR'!A:A,0))*IF(J247&gt;0,IF(P247&gt;0,$R$4*MAX(P247-W247,0),0),0)/J247,2),0))</f>
        <v>0.72</v>
      </c>
      <c r="AJ247" s="45">
        <f t="shared" si="92"/>
        <v>3326646.6567246555</v>
      </c>
      <c r="AK247" s="45">
        <f t="shared" si="92"/>
        <v>945713.86611753481</v>
      </c>
      <c r="AL247" s="47">
        <f t="shared" si="93"/>
        <v>3.5999999999999996</v>
      </c>
      <c r="AM247" s="47">
        <f t="shared" si="93"/>
        <v>2.1399999999999997</v>
      </c>
      <c r="AN247" s="87">
        <f>IFERROR(INDEX(FeeCalc!P:P,MATCH(C247,FeeCalc!F:F,0)),0)</f>
        <v>9048334.2500969581</v>
      </c>
      <c r="AO247" s="87">
        <f>IFERROR(INDEX(FeeCalc!S:S,MATCH(C247,FeeCalc!F:F,0)),0)</f>
        <v>566336.25535779074</v>
      </c>
      <c r="AP247" s="87">
        <f t="shared" si="94"/>
        <v>9614670.5054547489</v>
      </c>
      <c r="AQ247" s="72">
        <f t="shared" si="95"/>
        <v>4079812.364920625</v>
      </c>
      <c r="AR247" s="72">
        <f t="shared" si="96"/>
        <v>2039906.1824603125</v>
      </c>
      <c r="AS247" s="72">
        <f t="shared" si="97"/>
        <v>2039906.1824603125</v>
      </c>
      <c r="AT247" s="72">
        <f>IFERROR(IFERROR(INDEX('2023 IP UPL Data'!L:L,MATCH(A:A,'2023 IP UPL Data'!B:B,0)),INDEX('2023 IMD UPL Data'!I:I,MATCH(A:A,'2023 IMD UPL Data'!B:B,0))),0)</f>
        <v>1857612.95625</v>
      </c>
      <c r="AU247" s="72">
        <f>IFERROR(IF(F245="IMD",0,INDEX('2023 OP UPL Data'!J:J,MATCH(A:A,'2023 OP UPL Data'!B:B,0))),0)</f>
        <v>521098.86875000002</v>
      </c>
      <c r="AV247" s="45">
        <f t="shared" si="98"/>
        <v>2378711.8250000002</v>
      </c>
      <c r="AW247" s="72">
        <f>IFERROR(IFERROR(INDEX('2023 IP UPL Data'!M:M,MATCH(A:A,'2023 IP UPL Data'!B:B,0)),INDEX('2023 IMD UPL Data'!K:K,MATCH(A:A,'2023 IMD UPL Data'!B:B,0))),0)</f>
        <v>4258296.26</v>
      </c>
      <c r="AX247" s="72">
        <f>IFERROR(IF(F245="IMD",0,INDEX('2023 OP UPL Data'!L:L,MATCH(A:A,'2023 OP UPL Data'!B:B,0))),0)</f>
        <v>2750272.01</v>
      </c>
      <c r="AY247" s="45">
        <f t="shared" si="99"/>
        <v>7008568.2699999996</v>
      </c>
      <c r="AZ247" s="72">
        <v>9562985.8789446466</v>
      </c>
      <c r="BA247" s="72">
        <v>4066559.9253160181</v>
      </c>
      <c r="BB247" s="72">
        <f t="shared" si="100"/>
        <v>6652170.0543105733</v>
      </c>
      <c r="BC247" s="72">
        <f t="shared" si="100"/>
        <v>2201402.0226953244</v>
      </c>
      <c r="BD247" s="72">
        <f t="shared" si="101"/>
        <v>8853572.0770058967</v>
      </c>
      <c r="BE247" s="94">
        <f t="shared" si="102"/>
        <v>5304689.6189446468</v>
      </c>
      <c r="BF247" s="94">
        <f t="shared" si="102"/>
        <v>1316287.9153160183</v>
      </c>
      <c r="BG247" s="73">
        <f>IFERROR(INDEX('2023 IP UPL Data'!K:K,MATCH(A247,'2023 IP UPL Data'!B:B,0)),0)</f>
        <v>0</v>
      </c>
    </row>
    <row r="248" spans="1:59">
      <c r="A248" s="124" t="s">
        <v>762</v>
      </c>
      <c r="B248" s="149" t="s">
        <v>762</v>
      </c>
      <c r="C248" s="31" t="s">
        <v>763</v>
      </c>
      <c r="D248" s="181" t="s">
        <v>763</v>
      </c>
      <c r="E248" s="144" t="s">
        <v>2999</v>
      </c>
      <c r="F248" s="120" t="s">
        <v>2718</v>
      </c>
      <c r="G248" s="120" t="s">
        <v>223</v>
      </c>
      <c r="H248" s="43" t="str">
        <f t="shared" si="82"/>
        <v>Urban Dallas</v>
      </c>
      <c r="I248" s="45">
        <f>INDEX(FeeCalc!M:M,MATCH(C:C,FeeCalc!F:F,0))</f>
        <v>5426290.3964631017</v>
      </c>
      <c r="J248" s="45">
        <f>INDEX(FeeCalc!L:L,MATCH(C:C,FeeCalc!F:F,0))</f>
        <v>6089144.158173617</v>
      </c>
      <c r="K248" s="45">
        <f t="shared" si="83"/>
        <v>11515434.554636719</v>
      </c>
      <c r="L248" s="45">
        <f>IFERROR(IFERROR(INDEX('2023 IP UPL Data'!N:N,MATCH(A:A,'2023 IP UPL Data'!B:B,0)),INDEX('2023 IMD UPL Data'!M:M,MATCH(A:A,'2023 IMD UPL Data'!B:B,0))),0)</f>
        <v>3787296.1652147239</v>
      </c>
      <c r="M248" s="45">
        <f>IFERROR((IF(F248="IMD",0,INDEX('2023 OP UPL Data'!M:M,MATCH(A:A,'2023 OP UPL Data'!B:B,0)))),0)</f>
        <v>2220638.4242944797</v>
      </c>
      <c r="N248" s="45">
        <f t="shared" si="84"/>
        <v>6007934.589509204</v>
      </c>
      <c r="O248" s="45">
        <v>4786204.9326560711</v>
      </c>
      <c r="P248" s="45">
        <v>1871362.2799337921</v>
      </c>
      <c r="Q248" s="45">
        <f t="shared" si="85"/>
        <v>6657567.2125898637</v>
      </c>
      <c r="R248" s="45" t="str">
        <f t="shared" si="86"/>
        <v>Yes</v>
      </c>
      <c r="S248" s="46" t="str">
        <f t="shared" si="86"/>
        <v>Yes</v>
      </c>
      <c r="T248" s="47">
        <f>ROUND(INDEX(Summary!H:H,MATCH(H:H,Summary!A:A,0)),2)</f>
        <v>1.2</v>
      </c>
      <c r="U248" s="47">
        <f>ROUND(INDEX(Summary!I:I,MATCH(H:H,Summary!A:A,0)),2)</f>
        <v>1.08</v>
      </c>
      <c r="V248" s="85">
        <f t="shared" si="87"/>
        <v>6511548.4757557223</v>
      </c>
      <c r="W248" s="85">
        <f t="shared" si="87"/>
        <v>6576275.6908275066</v>
      </c>
      <c r="X248" s="45">
        <f t="shared" si="88"/>
        <v>13087824.166583229</v>
      </c>
      <c r="Y248" s="45" t="s">
        <v>3223</v>
      </c>
      <c r="Z248" s="45" t="str">
        <f t="shared" si="89"/>
        <v>No</v>
      </c>
      <c r="AA248" s="45" t="str">
        <f t="shared" si="89"/>
        <v>No</v>
      </c>
      <c r="AB248" s="45" t="str">
        <f t="shared" si="90"/>
        <v>No</v>
      </c>
      <c r="AC248" s="86">
        <f t="shared" si="103"/>
        <v>0</v>
      </c>
      <c r="AD248" s="86">
        <f t="shared" si="104"/>
        <v>0</v>
      </c>
      <c r="AE248" s="45">
        <f t="shared" si="105"/>
        <v>0</v>
      </c>
      <c r="AF248" s="45">
        <f t="shared" si="105"/>
        <v>0</v>
      </c>
      <c r="AG248" s="45">
        <f t="shared" si="91"/>
        <v>0</v>
      </c>
      <c r="AH248" s="47">
        <f>IF(Y248="No",0,IFERROR(ROUNDDOWN(INDEX('90% of ACR'!K:K,MATCH(H:H,'90% of ACR'!A:A,0))*IF(I248&gt;0,IF(O248&gt;0,$R$4*MAX(O248-V248,0),0),0)/I248,2),0))</f>
        <v>0</v>
      </c>
      <c r="AI248" s="86">
        <f>IF(Y248="No",0,IFERROR(ROUNDDOWN(INDEX('90% of ACR'!R:R,MATCH(H:H,'90% of ACR'!A:A,0))*IF(J248&gt;0,IF(P248&gt;0,$R$4*MAX(P248-W248,0),0),0)/J248,2),0))</f>
        <v>0</v>
      </c>
      <c r="AJ248" s="45">
        <f t="shared" si="92"/>
        <v>0</v>
      </c>
      <c r="AK248" s="45">
        <f t="shared" si="92"/>
        <v>0</v>
      </c>
      <c r="AL248" s="47">
        <f t="shared" si="93"/>
        <v>1.2</v>
      </c>
      <c r="AM248" s="47">
        <f t="shared" si="93"/>
        <v>1.08</v>
      </c>
      <c r="AN248" s="87">
        <f>IFERROR(INDEX(FeeCalc!P:P,MATCH(C248,FeeCalc!F:F,0)),0)</f>
        <v>13087824.166583229</v>
      </c>
      <c r="AO248" s="87">
        <f>IFERROR(INDEX(FeeCalc!S:S,MATCH(C248,FeeCalc!F:F,0)),0)</f>
        <v>807799.50315710716</v>
      </c>
      <c r="AP248" s="87">
        <f t="shared" si="94"/>
        <v>13895623.669740336</v>
      </c>
      <c r="AQ248" s="72">
        <f t="shared" si="95"/>
        <v>5896357.7830282571</v>
      </c>
      <c r="AR248" s="72">
        <f t="shared" si="96"/>
        <v>2948178.8915141285</v>
      </c>
      <c r="AS248" s="72">
        <f t="shared" si="97"/>
        <v>2948178.8915141285</v>
      </c>
      <c r="AT248" s="72">
        <f>IFERROR(IFERROR(INDEX('2023 IP UPL Data'!L:L,MATCH(A:A,'2023 IP UPL Data'!B:B,0)),INDEX('2023 IMD UPL Data'!I:I,MATCH(A:A,'2023 IMD UPL Data'!B:B,0))),0)</f>
        <v>4750353.9447852755</v>
      </c>
      <c r="AU248" s="72">
        <f>IFERROR(IF(F246="IMD",0,INDEX('2023 OP UPL Data'!J:J,MATCH(A:A,'2023 OP UPL Data'!B:B,0))),0)</f>
        <v>2694852.8957055206</v>
      </c>
      <c r="AV248" s="45">
        <f t="shared" si="98"/>
        <v>7445206.8404907957</v>
      </c>
      <c r="AW248" s="72">
        <f>IFERROR(IFERROR(INDEX('2023 IP UPL Data'!M:M,MATCH(A:A,'2023 IP UPL Data'!B:B,0)),INDEX('2023 IMD UPL Data'!K:K,MATCH(A:A,'2023 IMD UPL Data'!B:B,0))),0)</f>
        <v>8537650.1099999994</v>
      </c>
      <c r="AX248" s="72">
        <f>IFERROR(IF(F246="IMD",0,INDEX('2023 OP UPL Data'!L:L,MATCH(A:A,'2023 OP UPL Data'!B:B,0))),0)</f>
        <v>4915491.32</v>
      </c>
      <c r="AY248" s="45">
        <f t="shared" si="99"/>
        <v>13453141.43</v>
      </c>
      <c r="AZ248" s="72">
        <v>9536558.8774413466</v>
      </c>
      <c r="BA248" s="72">
        <v>4566215.1756393127</v>
      </c>
      <c r="BB248" s="72">
        <f t="shared" si="100"/>
        <v>3025010.4016856244</v>
      </c>
      <c r="BC248" s="72">
        <f t="shared" si="100"/>
        <v>0</v>
      </c>
      <c r="BD248" s="72">
        <f t="shared" si="101"/>
        <v>1014949.8864974305</v>
      </c>
      <c r="BE248" s="94">
        <f t="shared" si="102"/>
        <v>998908.76744134724</v>
      </c>
      <c r="BF248" s="94">
        <f t="shared" si="102"/>
        <v>0</v>
      </c>
      <c r="BG248" s="73">
        <f>IFERROR(INDEX('2023 IP UPL Data'!K:K,MATCH(A248,'2023 IP UPL Data'!B:B,0)),0)</f>
        <v>0</v>
      </c>
    </row>
    <row r="249" spans="1:59">
      <c r="A249" s="124" t="s">
        <v>632</v>
      </c>
      <c r="B249" s="149" t="s">
        <v>632</v>
      </c>
      <c r="C249" s="31" t="s">
        <v>633</v>
      </c>
      <c r="D249" s="181" t="s">
        <v>633</v>
      </c>
      <c r="E249" s="144" t="s">
        <v>2959</v>
      </c>
      <c r="F249" s="120" t="s">
        <v>2718</v>
      </c>
      <c r="G249" s="120" t="s">
        <v>223</v>
      </c>
      <c r="H249" s="43" t="str">
        <f t="shared" si="82"/>
        <v>Urban Dallas</v>
      </c>
      <c r="I249" s="45">
        <f>INDEX(FeeCalc!M:M,MATCH(C:C,FeeCalc!F:F,0))</f>
        <v>10877575.684444105</v>
      </c>
      <c r="J249" s="45">
        <f>INDEX(FeeCalc!L:L,MATCH(C:C,FeeCalc!F:F,0))</f>
        <v>1818769.7384420293</v>
      </c>
      <c r="K249" s="45">
        <f t="shared" si="83"/>
        <v>12696345.422886135</v>
      </c>
      <c r="L249" s="45">
        <f>IFERROR(IFERROR(INDEX('2023 IP UPL Data'!N:N,MATCH(A:A,'2023 IP UPL Data'!B:B,0)),INDEX('2023 IMD UPL Data'!M:M,MATCH(A:A,'2023 IMD UPL Data'!B:B,0))),0)</f>
        <v>3581753.020963857</v>
      </c>
      <c r="M249" s="45">
        <f>IFERROR((IF(F249="IMD",0,INDEX('2023 OP UPL Data'!M:M,MATCH(A:A,'2023 OP UPL Data'!B:B,0)))),0)</f>
        <v>3422925.5300000003</v>
      </c>
      <c r="N249" s="45">
        <f t="shared" si="84"/>
        <v>7004678.5509638572</v>
      </c>
      <c r="O249" s="45">
        <v>29755686.416197199</v>
      </c>
      <c r="P249" s="45">
        <v>4964402.0232141558</v>
      </c>
      <c r="Q249" s="45">
        <f t="shared" si="85"/>
        <v>34720088.439411357</v>
      </c>
      <c r="R249" s="45" t="str">
        <f t="shared" si="86"/>
        <v>Yes</v>
      </c>
      <c r="S249" s="46" t="str">
        <f t="shared" si="86"/>
        <v>Yes</v>
      </c>
      <c r="T249" s="47">
        <f>ROUND(INDEX(Summary!H:H,MATCH(H:H,Summary!A:A,0)),2)</f>
        <v>1.2</v>
      </c>
      <c r="U249" s="47">
        <f>ROUND(INDEX(Summary!I:I,MATCH(H:H,Summary!A:A,0)),2)</f>
        <v>1.08</v>
      </c>
      <c r="V249" s="85">
        <f t="shared" si="87"/>
        <v>13053090.821332926</v>
      </c>
      <c r="W249" s="85">
        <f t="shared" si="87"/>
        <v>1964271.3175173919</v>
      </c>
      <c r="X249" s="45">
        <f t="shared" si="88"/>
        <v>15017362.138850318</v>
      </c>
      <c r="Y249" s="45" t="s">
        <v>3223</v>
      </c>
      <c r="Z249" s="45" t="str">
        <f t="shared" si="89"/>
        <v>Yes</v>
      </c>
      <c r="AA249" s="45" t="str">
        <f t="shared" si="89"/>
        <v>Yes</v>
      </c>
      <c r="AB249" s="45" t="str">
        <f t="shared" si="90"/>
        <v>Yes</v>
      </c>
      <c r="AC249" s="86">
        <f t="shared" si="103"/>
        <v>1.07</v>
      </c>
      <c r="AD249" s="86">
        <f t="shared" si="104"/>
        <v>1.1499999999999999</v>
      </c>
      <c r="AE249" s="45">
        <f t="shared" si="105"/>
        <v>11639005.982355194</v>
      </c>
      <c r="AF249" s="45">
        <f t="shared" si="105"/>
        <v>2091585.1992083336</v>
      </c>
      <c r="AG249" s="45">
        <f t="shared" si="91"/>
        <v>13730591.181563528</v>
      </c>
      <c r="AH249" s="47">
        <f>IF(Y249="No",0,IFERROR(ROUNDDOWN(INDEX('90% of ACR'!K:K,MATCH(H:H,'90% of ACR'!A:A,0))*IF(I249&gt;0,IF(O249&gt;0,$R$4*MAX(O249-V249,0),0),0)/I249,2),0))</f>
        <v>1.03</v>
      </c>
      <c r="AI249" s="86">
        <f>IF(Y249="No",0,IFERROR(ROUNDDOWN(INDEX('90% of ACR'!R:R,MATCH(H:H,'90% of ACR'!A:A,0))*IF(J249&gt;0,IF(P249&gt;0,$R$4*MAX(P249-W249,0),0),0)/J249,2),0))</f>
        <v>1.1399999999999999</v>
      </c>
      <c r="AJ249" s="45">
        <f t="shared" si="92"/>
        <v>11203902.954977429</v>
      </c>
      <c r="AK249" s="45">
        <f t="shared" si="92"/>
        <v>2073397.5018239133</v>
      </c>
      <c r="AL249" s="47">
        <f t="shared" si="93"/>
        <v>2.23</v>
      </c>
      <c r="AM249" s="47">
        <f t="shared" si="93"/>
        <v>2.2199999999999998</v>
      </c>
      <c r="AN249" s="87">
        <f>IFERROR(INDEX(FeeCalc!P:P,MATCH(C249,FeeCalc!F:F,0)),0)</f>
        <v>28294662.59565166</v>
      </c>
      <c r="AO249" s="87">
        <f>IFERROR(INDEX(FeeCalc!S:S,MATCH(C249,FeeCalc!F:F,0)),0)</f>
        <v>1753644.0086337461</v>
      </c>
      <c r="AP249" s="87">
        <f t="shared" si="94"/>
        <v>30048306.604285408</v>
      </c>
      <c r="AQ249" s="72">
        <f t="shared" si="95"/>
        <v>12750458.038009636</v>
      </c>
      <c r="AR249" s="72">
        <f t="shared" si="96"/>
        <v>6375229.0190048181</v>
      </c>
      <c r="AS249" s="72">
        <f t="shared" si="97"/>
        <v>6375229.0190048181</v>
      </c>
      <c r="AT249" s="72">
        <f>IFERROR(IFERROR(INDEX('2023 IP UPL Data'!L:L,MATCH(A:A,'2023 IP UPL Data'!B:B,0)),INDEX('2023 IMD UPL Data'!I:I,MATCH(A:A,'2023 IMD UPL Data'!B:B,0))),0)</f>
        <v>12718664.759036142</v>
      </c>
      <c r="AU249" s="72">
        <f>IFERROR(IF(F247="IMD",0,INDEX('2023 OP UPL Data'!J:J,MATCH(A:A,'2023 OP UPL Data'!B:B,0))),0)</f>
        <v>957061.49999999977</v>
      </c>
      <c r="AV249" s="45">
        <f t="shared" si="98"/>
        <v>13675726.259036142</v>
      </c>
      <c r="AW249" s="72">
        <f>IFERROR(IFERROR(INDEX('2023 IP UPL Data'!M:M,MATCH(A:A,'2023 IP UPL Data'!B:B,0)),INDEX('2023 IMD UPL Data'!K:K,MATCH(A:A,'2023 IMD UPL Data'!B:B,0))),0)</f>
        <v>16300417.779999999</v>
      </c>
      <c r="AX249" s="72">
        <f>IFERROR(IF(F247="IMD",0,INDEX('2023 OP UPL Data'!L:L,MATCH(A:A,'2023 OP UPL Data'!B:B,0))),0)</f>
        <v>4379987.03</v>
      </c>
      <c r="AY249" s="45">
        <f t="shared" si="99"/>
        <v>20680404.809999999</v>
      </c>
      <c r="AZ249" s="72">
        <v>42474351.175233342</v>
      </c>
      <c r="BA249" s="72">
        <v>5921463.5232141558</v>
      </c>
      <c r="BB249" s="72">
        <f t="shared" si="100"/>
        <v>29421260.353900418</v>
      </c>
      <c r="BC249" s="72">
        <f t="shared" si="100"/>
        <v>3957192.2056967639</v>
      </c>
      <c r="BD249" s="72">
        <f t="shared" si="101"/>
        <v>33378452.559597179</v>
      </c>
      <c r="BE249" s="94">
        <f t="shared" si="102"/>
        <v>26173933.395233341</v>
      </c>
      <c r="BF249" s="94">
        <f t="shared" si="102"/>
        <v>1541476.4932141555</v>
      </c>
      <c r="BG249" s="73">
        <f>IFERROR(INDEX('2023 IP UPL Data'!K:K,MATCH(A249,'2023 IP UPL Data'!B:B,0)),0)</f>
        <v>0</v>
      </c>
    </row>
    <row r="250" spans="1:59">
      <c r="A250" s="124" t="s">
        <v>1168</v>
      </c>
      <c r="B250" s="149" t="s">
        <v>1168</v>
      </c>
      <c r="C250" s="31" t="s">
        <v>1169</v>
      </c>
      <c r="D250" s="181" t="s">
        <v>1169</v>
      </c>
      <c r="E250" s="144" t="s">
        <v>2961</v>
      </c>
      <c r="F250" s="120" t="s">
        <v>2718</v>
      </c>
      <c r="G250" s="120" t="s">
        <v>1366</v>
      </c>
      <c r="H250" s="43" t="str">
        <f t="shared" si="82"/>
        <v>Urban Tarrant</v>
      </c>
      <c r="I250" s="45">
        <f>INDEX(FeeCalc!M:M,MATCH(C:C,FeeCalc!F:F,0))</f>
        <v>1587605.231005623</v>
      </c>
      <c r="J250" s="45">
        <f>INDEX(FeeCalc!L:L,MATCH(C:C,FeeCalc!F:F,0))</f>
        <v>992850.18633580417</v>
      </c>
      <c r="K250" s="45">
        <f t="shared" si="83"/>
        <v>2580455.4173414269</v>
      </c>
      <c r="L250" s="45">
        <f>IFERROR(IFERROR(INDEX('2023 IP UPL Data'!N:N,MATCH(A:A,'2023 IP UPL Data'!B:B,0)),INDEX('2023 IMD UPL Data'!M:M,MATCH(A:A,'2023 IMD UPL Data'!B:B,0))),0)</f>
        <v>3394134.665</v>
      </c>
      <c r="M250" s="45">
        <f>IFERROR((IF(F250="IMD",0,INDEX('2023 OP UPL Data'!M:M,MATCH(A:A,'2023 OP UPL Data'!B:B,0)))),0)</f>
        <v>2304238.5812500003</v>
      </c>
      <c r="N250" s="45">
        <f t="shared" si="84"/>
        <v>5698373.2462499999</v>
      </c>
      <c r="O250" s="45">
        <v>7266071.74811179</v>
      </c>
      <c r="P250" s="45">
        <v>3376019.9518547934</v>
      </c>
      <c r="Q250" s="45">
        <f t="shared" si="85"/>
        <v>10642091.699966583</v>
      </c>
      <c r="R250" s="45" t="str">
        <f t="shared" si="86"/>
        <v>Yes</v>
      </c>
      <c r="S250" s="46" t="str">
        <f t="shared" si="86"/>
        <v>Yes</v>
      </c>
      <c r="T250" s="47">
        <f>ROUND(INDEX(Summary!H:H,MATCH(H:H,Summary!A:A,0)),2)</f>
        <v>1.68</v>
      </c>
      <c r="U250" s="47">
        <f>ROUND(INDEX(Summary!I:I,MATCH(H:H,Summary!A:A,0)),2)</f>
        <v>1.42</v>
      </c>
      <c r="V250" s="85">
        <f t="shared" si="87"/>
        <v>2667176.7880894467</v>
      </c>
      <c r="W250" s="85">
        <f t="shared" si="87"/>
        <v>1409847.2645968418</v>
      </c>
      <c r="X250" s="45">
        <f t="shared" si="88"/>
        <v>4077024.0526862885</v>
      </c>
      <c r="Y250" s="45" t="s">
        <v>3223</v>
      </c>
      <c r="Z250" s="45" t="str">
        <f t="shared" si="89"/>
        <v>Yes</v>
      </c>
      <c r="AA250" s="45" t="str">
        <f t="shared" si="89"/>
        <v>Yes</v>
      </c>
      <c r="AB250" s="45" t="str">
        <f t="shared" si="90"/>
        <v>Yes</v>
      </c>
      <c r="AC250" s="86">
        <f t="shared" si="103"/>
        <v>2.02</v>
      </c>
      <c r="AD250" s="86">
        <f t="shared" si="104"/>
        <v>1.38</v>
      </c>
      <c r="AE250" s="45">
        <f t="shared" si="105"/>
        <v>3206962.5666313586</v>
      </c>
      <c r="AF250" s="45">
        <f t="shared" si="105"/>
        <v>1370133.2571434097</v>
      </c>
      <c r="AG250" s="45">
        <f t="shared" si="91"/>
        <v>4577095.823774768</v>
      </c>
      <c r="AH250" s="47">
        <f>IF(Y250="No",0,IFERROR(ROUNDDOWN(INDEX('90% of ACR'!K:K,MATCH(H:H,'90% of ACR'!A:A,0))*IF(I250&gt;0,IF(O250&gt;0,$R$4*MAX(O250-V250,0),0),0)/I250,2),0))</f>
        <v>2.0099999999999998</v>
      </c>
      <c r="AI250" s="86">
        <f>IF(Y250="No",0,IFERROR(ROUNDDOWN(INDEX('90% of ACR'!R:R,MATCH(H:H,'90% of ACR'!A:A,0))*IF(J250&gt;0,IF(P250&gt;0,$R$4*MAX(P250-W250,0),0),0)/J250,2),0))</f>
        <v>1.1200000000000001</v>
      </c>
      <c r="AJ250" s="45">
        <f t="shared" si="92"/>
        <v>3191086.5143213021</v>
      </c>
      <c r="AK250" s="45">
        <f t="shared" si="92"/>
        <v>1111992.2086961009</v>
      </c>
      <c r="AL250" s="47">
        <f t="shared" si="93"/>
        <v>3.6899999999999995</v>
      </c>
      <c r="AM250" s="47">
        <f t="shared" si="93"/>
        <v>2.54</v>
      </c>
      <c r="AN250" s="87">
        <f>IFERROR(INDEX(FeeCalc!P:P,MATCH(C250,FeeCalc!F:F,0)),0)</f>
        <v>8380102.7757036909</v>
      </c>
      <c r="AO250" s="87">
        <f>IFERROR(INDEX(FeeCalc!S:S,MATCH(C250,FeeCalc!F:F,0)),0)</f>
        <v>522274.78234006971</v>
      </c>
      <c r="AP250" s="87">
        <f t="shared" si="94"/>
        <v>8902377.5580437612</v>
      </c>
      <c r="AQ250" s="72">
        <f t="shared" si="95"/>
        <v>3777563.6739598261</v>
      </c>
      <c r="AR250" s="72">
        <f t="shared" si="96"/>
        <v>1888781.8369799131</v>
      </c>
      <c r="AS250" s="72">
        <f t="shared" si="97"/>
        <v>1888781.8369799131</v>
      </c>
      <c r="AT250" s="72">
        <f>IFERROR(IFERROR(INDEX('2023 IP UPL Data'!L:L,MATCH(A:A,'2023 IP UPL Data'!B:B,0)),INDEX('2023 IMD UPL Data'!I:I,MATCH(A:A,'2023 IMD UPL Data'!B:B,0))),0)</f>
        <v>1499503.625</v>
      </c>
      <c r="AU250" s="72">
        <f>IFERROR(IF(F248="IMD",0,INDEX('2023 OP UPL Data'!J:J,MATCH(A:A,'2023 OP UPL Data'!B:B,0))),0)</f>
        <v>515524.76874999993</v>
      </c>
      <c r="AV250" s="45">
        <f t="shared" si="98"/>
        <v>2015028.3937499998</v>
      </c>
      <c r="AW250" s="72">
        <f>IFERROR(IFERROR(INDEX('2023 IP UPL Data'!M:M,MATCH(A:A,'2023 IP UPL Data'!B:B,0)),INDEX('2023 IMD UPL Data'!K:K,MATCH(A:A,'2023 IMD UPL Data'!B:B,0))),0)</f>
        <v>4893638.29</v>
      </c>
      <c r="AX250" s="72">
        <f>IFERROR(IF(F248="IMD",0,INDEX('2023 OP UPL Data'!L:L,MATCH(A:A,'2023 OP UPL Data'!B:B,0))),0)</f>
        <v>2819763.35</v>
      </c>
      <c r="AY250" s="45">
        <f t="shared" si="99"/>
        <v>7713401.6400000006</v>
      </c>
      <c r="AZ250" s="72">
        <v>8765575.37311179</v>
      </c>
      <c r="BA250" s="72">
        <v>3891544.7206047932</v>
      </c>
      <c r="BB250" s="72">
        <f t="shared" si="100"/>
        <v>6098398.5850223433</v>
      </c>
      <c r="BC250" s="72">
        <f t="shared" si="100"/>
        <v>2481697.4560079514</v>
      </c>
      <c r="BD250" s="72">
        <f t="shared" si="101"/>
        <v>8580096.0410302952</v>
      </c>
      <c r="BE250" s="94">
        <f t="shared" si="102"/>
        <v>3871937.08311179</v>
      </c>
      <c r="BF250" s="94">
        <f t="shared" si="102"/>
        <v>1071781.3706047931</v>
      </c>
      <c r="BG250" s="73">
        <f>IFERROR(INDEX('2023 IP UPL Data'!K:K,MATCH(A250,'2023 IP UPL Data'!B:B,0)),0)</f>
        <v>0</v>
      </c>
    </row>
    <row r="251" spans="1:59" ht="25.5">
      <c r="A251" s="124" t="s">
        <v>1340</v>
      </c>
      <c r="B251" s="149" t="s">
        <v>1340</v>
      </c>
      <c r="C251" s="31" t="s">
        <v>1341</v>
      </c>
      <c r="D251" s="181" t="s">
        <v>1341</v>
      </c>
      <c r="E251" s="144" t="s">
        <v>3336</v>
      </c>
      <c r="F251" s="120" t="s">
        <v>3069</v>
      </c>
      <c r="G251" s="120" t="s">
        <v>487</v>
      </c>
      <c r="H251" s="43" t="str">
        <f t="shared" si="82"/>
        <v>Non-state-owned IMD Bexar</v>
      </c>
      <c r="I251" s="45">
        <f>INDEX(FeeCalc!M:M,MATCH(C:C,FeeCalc!F:F,0))</f>
        <v>4230642.6175989183</v>
      </c>
      <c r="J251" s="45">
        <f>INDEX(FeeCalc!L:L,MATCH(C:C,FeeCalc!F:F,0))</f>
        <v>0</v>
      </c>
      <c r="K251" s="45">
        <f t="shared" si="83"/>
        <v>4230642.6175989183</v>
      </c>
      <c r="L251" s="45">
        <f>IFERROR(IFERROR(INDEX('2023 IP UPL Data'!N:N,MATCH(A:A,'2023 IP UPL Data'!B:B,0)),INDEX('2023 IMD UPL Data'!M:M,MATCH(A:A,'2023 IMD UPL Data'!B:B,0))),0)</f>
        <v>978490.5</v>
      </c>
      <c r="M251" s="45">
        <f>IFERROR((IF(F251="IMD",0,INDEX('2023 OP UPL Data'!M:M,MATCH(A:A,'2023 OP UPL Data'!B:B,0)))),0)</f>
        <v>0</v>
      </c>
      <c r="N251" s="45">
        <f t="shared" si="84"/>
        <v>978490.5</v>
      </c>
      <c r="O251" s="45">
        <v>1685351.5861442396</v>
      </c>
      <c r="P251" s="45">
        <v>0</v>
      </c>
      <c r="Q251" s="45">
        <f t="shared" si="85"/>
        <v>1685351.5861442396</v>
      </c>
      <c r="R251" s="45" t="str">
        <f t="shared" si="86"/>
        <v>Yes</v>
      </c>
      <c r="S251" s="46" t="str">
        <f t="shared" si="86"/>
        <v>No</v>
      </c>
      <c r="T251" s="47">
        <f>ROUND(INDEX(Summary!H:H,MATCH(H:H,Summary!A:A,0)),2)</f>
        <v>0.14000000000000001</v>
      </c>
      <c r="U251" s="47">
        <f>ROUND(INDEX(Summary!I:I,MATCH(H:H,Summary!A:A,0)),2)</f>
        <v>0</v>
      </c>
      <c r="V251" s="85">
        <f t="shared" si="87"/>
        <v>592289.9664638486</v>
      </c>
      <c r="W251" s="85">
        <f t="shared" si="87"/>
        <v>0</v>
      </c>
      <c r="X251" s="45">
        <f t="shared" si="88"/>
        <v>592289.9664638486</v>
      </c>
      <c r="Y251" s="45" t="s">
        <v>3223</v>
      </c>
      <c r="Z251" s="45" t="str">
        <f t="shared" si="89"/>
        <v>No</v>
      </c>
      <c r="AA251" s="45" t="str">
        <f t="shared" si="89"/>
        <v>No</v>
      </c>
      <c r="AB251" s="45" t="str">
        <f t="shared" si="90"/>
        <v>Yes</v>
      </c>
      <c r="AC251" s="86">
        <f t="shared" si="103"/>
        <v>0.18</v>
      </c>
      <c r="AD251" s="86">
        <f t="shared" si="104"/>
        <v>0</v>
      </c>
      <c r="AE251" s="45">
        <f t="shared" si="105"/>
        <v>761515.67116780521</v>
      </c>
      <c r="AF251" s="45">
        <f t="shared" si="105"/>
        <v>0</v>
      </c>
      <c r="AG251" s="45">
        <f t="shared" si="91"/>
        <v>761515.67116780521</v>
      </c>
      <c r="AH251" s="47">
        <f>IF(Y251="No",0,IFERROR(ROUNDDOWN(INDEX('90% of ACR'!K:K,MATCH(H:H,'90% of ACR'!A:A,0))*IF(I251&gt;0,IF(O251&gt;0,$R$4*MAX(O251-V251,0),0),0)/I251,2),0))</f>
        <v>0</v>
      </c>
      <c r="AI251" s="86">
        <f>IF(Y251="No",0,IFERROR(ROUNDDOWN(INDEX('90% of ACR'!R:R,MATCH(H:H,'90% of ACR'!A:A,0))*IF(J251&gt;0,IF(P251&gt;0,$R$4*MAX(P251-W251,0),0),0)/J251,2),0))</f>
        <v>0</v>
      </c>
      <c r="AJ251" s="45">
        <f t="shared" si="92"/>
        <v>0</v>
      </c>
      <c r="AK251" s="45">
        <f t="shared" si="92"/>
        <v>0</v>
      </c>
      <c r="AL251" s="47">
        <f t="shared" si="93"/>
        <v>0.14000000000000001</v>
      </c>
      <c r="AM251" s="47">
        <f t="shared" si="93"/>
        <v>0</v>
      </c>
      <c r="AN251" s="87">
        <f>IFERROR(INDEX(FeeCalc!P:P,MATCH(C251,FeeCalc!F:F,0)),0)</f>
        <v>592289.9664638486</v>
      </c>
      <c r="AO251" s="87">
        <f>IFERROR(INDEX(FeeCalc!S:S,MATCH(C251,FeeCalc!F:F,0)),0)</f>
        <v>36134.401137051769</v>
      </c>
      <c r="AP251" s="87">
        <f t="shared" si="94"/>
        <v>628424.36760090035</v>
      </c>
      <c r="AQ251" s="72">
        <f t="shared" si="95"/>
        <v>266660.56875282532</v>
      </c>
      <c r="AR251" s="72">
        <f t="shared" si="96"/>
        <v>133330.28437641266</v>
      </c>
      <c r="AS251" s="72">
        <f t="shared" si="97"/>
        <v>133330.28437641266</v>
      </c>
      <c r="AT251" s="72">
        <f>IFERROR(IFERROR(INDEX('2023 IP UPL Data'!L:L,MATCH(A:A,'2023 IP UPL Data'!B:B,0)),INDEX('2023 IMD UPL Data'!I:I,MATCH(A:A,'2023 IMD UPL Data'!B:B,0))),0)</f>
        <v>3357965</v>
      </c>
      <c r="AU251" s="72">
        <f>IFERROR(IF(F249="IMD",0,INDEX('2023 OP UPL Data'!J:J,MATCH(A:A,'2023 OP UPL Data'!B:B,0))),0)</f>
        <v>0</v>
      </c>
      <c r="AV251" s="45">
        <f t="shared" si="98"/>
        <v>3357965</v>
      </c>
      <c r="AW251" s="72">
        <f>IFERROR(IFERROR(INDEX('2023 IP UPL Data'!M:M,MATCH(A:A,'2023 IP UPL Data'!B:B,0)),INDEX('2023 IMD UPL Data'!K:K,MATCH(A:A,'2023 IMD UPL Data'!B:B,0))),0)</f>
        <v>978490.5</v>
      </c>
      <c r="AX251" s="72">
        <f>IFERROR(IF(F249="IMD",0,INDEX('2023 OP UPL Data'!L:L,MATCH(A:A,'2023 OP UPL Data'!B:B,0))),0)</f>
        <v>0</v>
      </c>
      <c r="AY251" s="45">
        <f t="shared" si="99"/>
        <v>978490.5</v>
      </c>
      <c r="AZ251" s="72">
        <v>5043316.5861442396</v>
      </c>
      <c r="BA251" s="72">
        <v>0</v>
      </c>
      <c r="BB251" s="72">
        <f t="shared" si="100"/>
        <v>4451026.6196803907</v>
      </c>
      <c r="BC251" s="72">
        <f t="shared" si="100"/>
        <v>0</v>
      </c>
      <c r="BD251" s="72">
        <f t="shared" si="101"/>
        <v>4451026.6196803907</v>
      </c>
      <c r="BE251" s="94">
        <f t="shared" si="102"/>
        <v>4064826.0861442396</v>
      </c>
      <c r="BF251" s="94">
        <f t="shared" si="102"/>
        <v>0</v>
      </c>
      <c r="BG251" s="73">
        <f>IFERROR(INDEX('2023 IP UPL Data'!K:K,MATCH(A251,'2023 IP UPL Data'!B:B,0)),0)</f>
        <v>0</v>
      </c>
    </row>
    <row r="252" spans="1:59">
      <c r="A252" s="124" t="s">
        <v>76</v>
      </c>
      <c r="B252" s="149" t="s">
        <v>76</v>
      </c>
      <c r="C252" s="31" t="s">
        <v>77</v>
      </c>
      <c r="D252" s="181" t="s">
        <v>77</v>
      </c>
      <c r="E252" s="144" t="s">
        <v>2863</v>
      </c>
      <c r="F252" s="120" t="s">
        <v>2768</v>
      </c>
      <c r="G252" s="120" t="s">
        <v>1489</v>
      </c>
      <c r="H252" s="43" t="str">
        <f t="shared" si="82"/>
        <v>Rural MRSA Central</v>
      </c>
      <c r="I252" s="45">
        <f>INDEX(FeeCalc!M:M,MATCH(C:C,FeeCalc!F:F,0))</f>
        <v>1107408.2177322353</v>
      </c>
      <c r="J252" s="45">
        <f>INDEX(FeeCalc!L:L,MATCH(C:C,FeeCalc!F:F,0))</f>
        <v>1081677.142318896</v>
      </c>
      <c r="K252" s="45">
        <f t="shared" si="83"/>
        <v>2189085.3600511313</v>
      </c>
      <c r="L252" s="45">
        <f>IFERROR(IFERROR(INDEX('2023 IP UPL Data'!N:N,MATCH(A:A,'2023 IP UPL Data'!B:B,0)),INDEX('2023 IMD UPL Data'!M:M,MATCH(A:A,'2023 IMD UPL Data'!B:B,0))),0)</f>
        <v>-44229.137548344908</v>
      </c>
      <c r="M252" s="45">
        <f>IFERROR((IF(F252="IMD",0,INDEX('2023 OP UPL Data'!M:M,MATCH(A:A,'2023 OP UPL Data'!B:B,0)))),0)</f>
        <v>644520.6723178809</v>
      </c>
      <c r="N252" s="45">
        <f t="shared" si="84"/>
        <v>600291.534769536</v>
      </c>
      <c r="O252" s="45">
        <v>-354125.25053542643</v>
      </c>
      <c r="P252" s="45">
        <v>414935.87163711875</v>
      </c>
      <c r="Q252" s="45">
        <f t="shared" si="85"/>
        <v>60810.621101692319</v>
      </c>
      <c r="R252" s="45" t="str">
        <f t="shared" si="86"/>
        <v>No</v>
      </c>
      <c r="S252" s="46" t="str">
        <f t="shared" si="86"/>
        <v>Yes</v>
      </c>
      <c r="T252" s="47">
        <f>ROUND(INDEX(Summary!H:H,MATCH(H:H,Summary!A:A,0)),2)</f>
        <v>0</v>
      </c>
      <c r="U252" s="47">
        <f>ROUND(INDEX(Summary!I:I,MATCH(H:H,Summary!A:A,0)),2)</f>
        <v>0.17</v>
      </c>
      <c r="V252" s="85">
        <f t="shared" si="87"/>
        <v>0</v>
      </c>
      <c r="W252" s="85">
        <f t="shared" si="87"/>
        <v>183885.11419421234</v>
      </c>
      <c r="X252" s="45">
        <f t="shared" si="88"/>
        <v>183885.11419421234</v>
      </c>
      <c r="Y252" s="45" t="s">
        <v>3223</v>
      </c>
      <c r="Z252" s="45" t="str">
        <f t="shared" si="89"/>
        <v>No</v>
      </c>
      <c r="AA252" s="45" t="str">
        <f t="shared" si="89"/>
        <v>Yes</v>
      </c>
      <c r="AB252" s="45" t="str">
        <f t="shared" si="90"/>
        <v>Yes</v>
      </c>
      <c r="AC252" s="86">
        <f t="shared" si="103"/>
        <v>0</v>
      </c>
      <c r="AD252" s="86">
        <f t="shared" si="104"/>
        <v>0.15</v>
      </c>
      <c r="AE252" s="45">
        <f t="shared" si="105"/>
        <v>0</v>
      </c>
      <c r="AF252" s="45">
        <f t="shared" si="105"/>
        <v>162251.5713478344</v>
      </c>
      <c r="AG252" s="45">
        <f t="shared" si="91"/>
        <v>162251.5713478344</v>
      </c>
      <c r="AH252" s="47">
        <f>IF(Y252="No",0,IFERROR(ROUNDDOWN(INDEX('90% of ACR'!K:K,MATCH(H:H,'90% of ACR'!A:A,0))*IF(I252&gt;0,IF(O252&gt;0,$R$4*MAX(O252-V252,0),0),0)/I252,2),0))</f>
        <v>0</v>
      </c>
      <c r="AI252" s="86">
        <f>IF(Y252="No",0,IFERROR(ROUNDDOWN(INDEX('90% of ACR'!R:R,MATCH(H:H,'90% of ACR'!A:A,0))*IF(J252&gt;0,IF(P252&gt;0,$R$4*MAX(P252-W252,0),0),0)/J252,2),0))</f>
        <v>0.14000000000000001</v>
      </c>
      <c r="AJ252" s="45">
        <f t="shared" si="92"/>
        <v>0</v>
      </c>
      <c r="AK252" s="45">
        <f t="shared" si="92"/>
        <v>151434.79992464546</v>
      </c>
      <c r="AL252" s="47">
        <f t="shared" si="93"/>
        <v>0</v>
      </c>
      <c r="AM252" s="47">
        <f t="shared" si="93"/>
        <v>0.31000000000000005</v>
      </c>
      <c r="AN252" s="87">
        <f>IFERROR(INDEX(FeeCalc!P:P,MATCH(C252,FeeCalc!F:F,0)),0)</f>
        <v>335319.91411885782</v>
      </c>
      <c r="AO252" s="87">
        <f>IFERROR(INDEX(FeeCalc!S:S,MATCH(C252,FeeCalc!F:F,0)),0)</f>
        <v>20654.956528505754</v>
      </c>
      <c r="AP252" s="87">
        <f t="shared" si="94"/>
        <v>355974.8706473636</v>
      </c>
      <c r="AQ252" s="72">
        <f t="shared" si="95"/>
        <v>151051.52881153711</v>
      </c>
      <c r="AR252" s="72">
        <f t="shared" si="96"/>
        <v>75525.764405768554</v>
      </c>
      <c r="AS252" s="72">
        <f t="shared" si="97"/>
        <v>75525.764405768554</v>
      </c>
      <c r="AT252" s="72">
        <f>IFERROR(IFERROR(INDEX('2023 IP UPL Data'!L:L,MATCH(A:A,'2023 IP UPL Data'!B:B,0)),INDEX('2023 IMD UPL Data'!I:I,MATCH(A:A,'2023 IMD UPL Data'!B:B,0))),0)</f>
        <v>1029923.5475483449</v>
      </c>
      <c r="AU252" s="72">
        <f>IFERROR(IF(F250="IMD",0,INDEX('2023 OP UPL Data'!J:J,MATCH(A:A,'2023 OP UPL Data'!B:B,0))),0)</f>
        <v>420774.92768211919</v>
      </c>
      <c r="AV252" s="45">
        <f t="shared" si="98"/>
        <v>1450698.4752304642</v>
      </c>
      <c r="AW252" s="72">
        <f>IFERROR(IFERROR(INDEX('2023 IP UPL Data'!M:M,MATCH(A:A,'2023 IP UPL Data'!B:B,0)),INDEX('2023 IMD UPL Data'!K:K,MATCH(A:A,'2023 IMD UPL Data'!B:B,0))),0)</f>
        <v>985694.41</v>
      </c>
      <c r="AX252" s="72">
        <f>IFERROR(IF(F250="IMD",0,INDEX('2023 OP UPL Data'!L:L,MATCH(A:A,'2023 OP UPL Data'!B:B,0))),0)</f>
        <v>1065295.6000000001</v>
      </c>
      <c r="AY252" s="45">
        <f t="shared" si="99"/>
        <v>2050990.0100000002</v>
      </c>
      <c r="AZ252" s="72">
        <v>675798.29701291851</v>
      </c>
      <c r="BA252" s="72">
        <v>835710.79931923794</v>
      </c>
      <c r="BB252" s="72">
        <f t="shared" si="100"/>
        <v>675798.29701291851</v>
      </c>
      <c r="BC252" s="72">
        <f t="shared" si="100"/>
        <v>651825.68512502557</v>
      </c>
      <c r="BD252" s="72">
        <f t="shared" si="101"/>
        <v>1327623.9821379443</v>
      </c>
      <c r="BE252" s="94">
        <f t="shared" si="102"/>
        <v>0</v>
      </c>
      <c r="BF252" s="94">
        <f t="shared" si="102"/>
        <v>0</v>
      </c>
      <c r="BG252" s="73">
        <f>IFERROR(INDEX('2023 IP UPL Data'!K:K,MATCH(A252,'2023 IP UPL Data'!B:B,0)),0)</f>
        <v>0</v>
      </c>
    </row>
    <row r="253" spans="1:59" ht="25.5">
      <c r="A253" s="124" t="s">
        <v>1343</v>
      </c>
      <c r="B253" s="149" t="s">
        <v>1343</v>
      </c>
      <c r="C253" s="31" t="s">
        <v>1344</v>
      </c>
      <c r="D253" s="181" t="s">
        <v>1344</v>
      </c>
      <c r="E253" s="144" t="s">
        <v>3338</v>
      </c>
      <c r="F253" s="120" t="s">
        <v>3069</v>
      </c>
      <c r="G253" s="120" t="s">
        <v>1202</v>
      </c>
      <c r="H253" s="43" t="str">
        <f t="shared" si="82"/>
        <v>Non-state-owned IMD Travis</v>
      </c>
      <c r="I253" s="45">
        <f>INDEX(FeeCalc!M:M,MATCH(C:C,FeeCalc!F:F,0))</f>
        <v>737881.08162294968</v>
      </c>
      <c r="J253" s="45">
        <f>INDEX(FeeCalc!L:L,MATCH(C:C,FeeCalc!F:F,0))</f>
        <v>0</v>
      </c>
      <c r="K253" s="45">
        <f t="shared" si="83"/>
        <v>737881.08162294968</v>
      </c>
      <c r="L253" s="45">
        <f>IFERROR(IFERROR(INDEX('2023 IP UPL Data'!N:N,MATCH(A:A,'2023 IP UPL Data'!B:B,0)),INDEX('2023 IMD UPL Data'!M:M,MATCH(A:A,'2023 IMD UPL Data'!B:B,0))),0)</f>
        <v>375127.64</v>
      </c>
      <c r="M253" s="45">
        <f>IFERROR((IF(F253="IMD",0,INDEX('2023 OP UPL Data'!M:M,MATCH(A:A,'2023 OP UPL Data'!B:B,0)))),0)</f>
        <v>0</v>
      </c>
      <c r="N253" s="45">
        <f t="shared" si="84"/>
        <v>375127.64</v>
      </c>
      <c r="O253" s="45">
        <v>781217.51686921925</v>
      </c>
      <c r="P253" s="45">
        <v>0</v>
      </c>
      <c r="Q253" s="45">
        <f t="shared" si="85"/>
        <v>781217.51686921925</v>
      </c>
      <c r="R253" s="45" t="str">
        <f t="shared" si="86"/>
        <v>Yes</v>
      </c>
      <c r="S253" s="46" t="str">
        <f t="shared" si="86"/>
        <v>No</v>
      </c>
      <c r="T253" s="47">
        <f>ROUND(INDEX(Summary!H:H,MATCH(H:H,Summary!A:A,0)),2)</f>
        <v>0.63</v>
      </c>
      <c r="U253" s="47">
        <f>ROUND(INDEX(Summary!I:I,MATCH(H:H,Summary!A:A,0)),2)</f>
        <v>0</v>
      </c>
      <c r="V253" s="85">
        <f t="shared" si="87"/>
        <v>464865.08142245829</v>
      </c>
      <c r="W253" s="85">
        <f t="shared" si="87"/>
        <v>0</v>
      </c>
      <c r="X253" s="45">
        <f t="shared" si="88"/>
        <v>464865.08142245829</v>
      </c>
      <c r="Y253" s="45" t="s">
        <v>3223</v>
      </c>
      <c r="Z253" s="45" t="str">
        <f t="shared" si="89"/>
        <v>No</v>
      </c>
      <c r="AA253" s="45" t="str">
        <f t="shared" si="89"/>
        <v>No</v>
      </c>
      <c r="AB253" s="45" t="str">
        <f t="shared" si="90"/>
        <v>Yes</v>
      </c>
      <c r="AC253" s="86">
        <f t="shared" si="103"/>
        <v>0.3</v>
      </c>
      <c r="AD253" s="86">
        <f t="shared" si="104"/>
        <v>0</v>
      </c>
      <c r="AE253" s="45">
        <f t="shared" si="105"/>
        <v>221364.3244868849</v>
      </c>
      <c r="AF253" s="45">
        <f t="shared" si="105"/>
        <v>0</v>
      </c>
      <c r="AG253" s="45">
        <f t="shared" si="91"/>
        <v>221364.3244868849</v>
      </c>
      <c r="AH253" s="47">
        <f>IF(Y253="No",0,IFERROR(ROUNDDOWN(INDEX('90% of ACR'!K:K,MATCH(H:H,'90% of ACR'!A:A,0))*IF(I253&gt;0,IF(O253&gt;0,$R$4*MAX(O253-V253,0),0),0)/I253,2),0))</f>
        <v>0</v>
      </c>
      <c r="AI253" s="86">
        <f>IF(Y253="No",0,IFERROR(ROUNDDOWN(INDEX('90% of ACR'!R:R,MATCH(H:H,'90% of ACR'!A:A,0))*IF(J253&gt;0,IF(P253&gt;0,$R$4*MAX(P253-W253,0),0),0)/J253,2),0))</f>
        <v>0</v>
      </c>
      <c r="AJ253" s="45">
        <f t="shared" si="92"/>
        <v>0</v>
      </c>
      <c r="AK253" s="45">
        <f t="shared" si="92"/>
        <v>0</v>
      </c>
      <c r="AL253" s="47">
        <f t="shared" si="93"/>
        <v>0.63</v>
      </c>
      <c r="AM253" s="47">
        <f t="shared" si="93"/>
        <v>0</v>
      </c>
      <c r="AN253" s="87">
        <f>IFERROR(INDEX(FeeCalc!P:P,MATCH(C253,FeeCalc!F:F,0)),0)</f>
        <v>464865.08142245829</v>
      </c>
      <c r="AO253" s="87">
        <f>IFERROR(INDEX(FeeCalc!S:S,MATCH(C253,FeeCalc!F:F,0)),0)</f>
        <v>28360.469158399315</v>
      </c>
      <c r="AP253" s="87">
        <f t="shared" si="94"/>
        <v>493225.55058085761</v>
      </c>
      <c r="AQ253" s="72">
        <f t="shared" si="95"/>
        <v>209291.38432907648</v>
      </c>
      <c r="AR253" s="72">
        <f t="shared" si="96"/>
        <v>104645.69216453824</v>
      </c>
      <c r="AS253" s="72">
        <f t="shared" si="97"/>
        <v>104645.69216453824</v>
      </c>
      <c r="AT253" s="72">
        <f>IFERROR(IFERROR(INDEX('2023 IP UPL Data'!L:L,MATCH(A:A,'2023 IP UPL Data'!B:B,0)),INDEX('2023 IMD UPL Data'!I:I,MATCH(A:A,'2023 IMD UPL Data'!B:B,0))),0)</f>
        <v>1158452.8</v>
      </c>
      <c r="AU253" s="72">
        <f>IFERROR(IF(F251="IMD",0,INDEX('2023 OP UPL Data'!J:J,MATCH(A:A,'2023 OP UPL Data'!B:B,0))),0)</f>
        <v>0</v>
      </c>
      <c r="AV253" s="45">
        <f t="shared" si="98"/>
        <v>1158452.8</v>
      </c>
      <c r="AW253" s="72">
        <f>IFERROR(IFERROR(INDEX('2023 IP UPL Data'!M:M,MATCH(A:A,'2023 IP UPL Data'!B:B,0)),INDEX('2023 IMD UPL Data'!K:K,MATCH(A:A,'2023 IMD UPL Data'!B:B,0))),0)</f>
        <v>375127.64</v>
      </c>
      <c r="AX253" s="72">
        <f>IFERROR(IF(F251="IMD",0,INDEX('2023 OP UPL Data'!L:L,MATCH(A:A,'2023 OP UPL Data'!B:B,0))),0)</f>
        <v>0</v>
      </c>
      <c r="AY253" s="45">
        <f t="shared" si="99"/>
        <v>375127.64</v>
      </c>
      <c r="AZ253" s="72">
        <v>1939670.3168692193</v>
      </c>
      <c r="BA253" s="72">
        <v>0</v>
      </c>
      <c r="BB253" s="72">
        <f t="shared" si="100"/>
        <v>1474805.2354467609</v>
      </c>
      <c r="BC253" s="72">
        <f t="shared" si="100"/>
        <v>0</v>
      </c>
      <c r="BD253" s="72">
        <f t="shared" si="101"/>
        <v>1474805.2354467609</v>
      </c>
      <c r="BE253" s="94">
        <f t="shared" si="102"/>
        <v>1564542.6768692192</v>
      </c>
      <c r="BF253" s="94">
        <f t="shared" si="102"/>
        <v>0</v>
      </c>
      <c r="BG253" s="73">
        <f>IFERROR(INDEX('2023 IP UPL Data'!K:K,MATCH(A253,'2023 IP UPL Data'!B:B,0)),0)</f>
        <v>0</v>
      </c>
    </row>
    <row r="254" spans="1:59" ht="25.5">
      <c r="A254" s="124" t="s">
        <v>1218</v>
      </c>
      <c r="B254" s="149" t="s">
        <v>1218</v>
      </c>
      <c r="C254" s="31" t="s">
        <v>1219</v>
      </c>
      <c r="D254" s="181" t="s">
        <v>1219</v>
      </c>
      <c r="E254" s="144" t="s">
        <v>3339</v>
      </c>
      <c r="F254" s="120" t="s">
        <v>3069</v>
      </c>
      <c r="G254" s="120" t="s">
        <v>300</v>
      </c>
      <c r="H254" s="43" t="str">
        <f t="shared" si="82"/>
        <v>Non-state-owned IMD Harris</v>
      </c>
      <c r="I254" s="45">
        <f>INDEX(FeeCalc!M:M,MATCH(C:C,FeeCalc!F:F,0))</f>
        <v>1978840.3330002909</v>
      </c>
      <c r="J254" s="45">
        <f>INDEX(FeeCalc!L:L,MATCH(C:C,FeeCalc!F:F,0))</f>
        <v>0</v>
      </c>
      <c r="K254" s="45">
        <f t="shared" si="83"/>
        <v>1978840.3330002909</v>
      </c>
      <c r="L254" s="45">
        <f>IFERROR(IFERROR(INDEX('2023 IP UPL Data'!N:N,MATCH(A:A,'2023 IP UPL Data'!B:B,0)),INDEX('2023 IMD UPL Data'!M:M,MATCH(A:A,'2023 IMD UPL Data'!B:B,0))),0)</f>
        <v>2131571.4</v>
      </c>
      <c r="M254" s="45">
        <f>IFERROR((IF(F254="IMD",0,INDEX('2023 OP UPL Data'!M:M,MATCH(A:A,'2023 OP UPL Data'!B:B,0)))),0)</f>
        <v>0</v>
      </c>
      <c r="N254" s="45">
        <f t="shared" si="84"/>
        <v>2131571.4</v>
      </c>
      <c r="O254" s="45">
        <v>1975869.5076936977</v>
      </c>
      <c r="P254" s="45">
        <v>0</v>
      </c>
      <c r="Q254" s="45">
        <f t="shared" si="85"/>
        <v>1975869.5076936977</v>
      </c>
      <c r="R254" s="45" t="str">
        <f t="shared" si="86"/>
        <v>Yes</v>
      </c>
      <c r="S254" s="46" t="str">
        <f t="shared" si="86"/>
        <v>No</v>
      </c>
      <c r="T254" s="47">
        <f>ROUND(INDEX(Summary!H:H,MATCH(H:H,Summary!A:A,0)),2)</f>
        <v>0.44</v>
      </c>
      <c r="U254" s="47">
        <f>ROUND(INDEX(Summary!I:I,MATCH(H:H,Summary!A:A,0)),2)</f>
        <v>0</v>
      </c>
      <c r="V254" s="85">
        <f t="shared" si="87"/>
        <v>870689.74652012798</v>
      </c>
      <c r="W254" s="85">
        <f t="shared" si="87"/>
        <v>0</v>
      </c>
      <c r="X254" s="45">
        <f t="shared" si="88"/>
        <v>870689.74652012798</v>
      </c>
      <c r="Y254" s="45" t="s">
        <v>3223</v>
      </c>
      <c r="Z254" s="45" t="str">
        <f t="shared" si="89"/>
        <v>No</v>
      </c>
      <c r="AA254" s="45" t="str">
        <f t="shared" si="89"/>
        <v>No</v>
      </c>
      <c r="AB254" s="45" t="str">
        <f t="shared" si="90"/>
        <v>Yes</v>
      </c>
      <c r="AC254" s="86">
        <f t="shared" si="103"/>
        <v>0.39</v>
      </c>
      <c r="AD254" s="86">
        <f t="shared" si="104"/>
        <v>0</v>
      </c>
      <c r="AE254" s="45">
        <f t="shared" si="105"/>
        <v>771747.72987011343</v>
      </c>
      <c r="AF254" s="45">
        <f t="shared" si="105"/>
        <v>0</v>
      </c>
      <c r="AG254" s="45">
        <f t="shared" si="91"/>
        <v>771747.72987011343</v>
      </c>
      <c r="AH254" s="47">
        <f>IF(Y254="No",0,IFERROR(ROUNDDOWN(INDEX('90% of ACR'!K:K,MATCH(H:H,'90% of ACR'!A:A,0))*IF(I254&gt;0,IF(O254&gt;0,$R$4*MAX(O254-V254,0),0),0)/I254,2),0))</f>
        <v>0</v>
      </c>
      <c r="AI254" s="86">
        <f>IF(Y254="No",0,IFERROR(ROUNDDOWN(INDEX('90% of ACR'!R:R,MATCH(H:H,'90% of ACR'!A:A,0))*IF(J254&gt;0,IF(P254&gt;0,$R$4*MAX(P254-W254,0),0),0)/J254,2),0))</f>
        <v>0</v>
      </c>
      <c r="AJ254" s="45">
        <f t="shared" si="92"/>
        <v>0</v>
      </c>
      <c r="AK254" s="45">
        <f t="shared" si="92"/>
        <v>0</v>
      </c>
      <c r="AL254" s="47">
        <f t="shared" si="93"/>
        <v>0.44</v>
      </c>
      <c r="AM254" s="47">
        <f t="shared" si="93"/>
        <v>0</v>
      </c>
      <c r="AN254" s="87">
        <f>IFERROR(INDEX(FeeCalc!P:P,MATCH(C254,FeeCalc!F:F,0)),0)</f>
        <v>870689.74652012798</v>
      </c>
      <c r="AO254" s="87">
        <f>IFERROR(INDEX(FeeCalc!S:S,MATCH(C254,FeeCalc!F:F,0)),0)</f>
        <v>53119.003103349991</v>
      </c>
      <c r="AP254" s="87">
        <f t="shared" si="94"/>
        <v>923808.74962347792</v>
      </c>
      <c r="AQ254" s="72">
        <f t="shared" si="95"/>
        <v>392001.6143452297</v>
      </c>
      <c r="AR254" s="72">
        <f t="shared" si="96"/>
        <v>196000.80717261485</v>
      </c>
      <c r="AS254" s="72">
        <f t="shared" si="97"/>
        <v>196000.80717261485</v>
      </c>
      <c r="AT254" s="72">
        <f>IFERROR(IFERROR(INDEX('2023 IP UPL Data'!L:L,MATCH(A:A,'2023 IP UPL Data'!B:B,0)),INDEX('2023 IMD UPL Data'!I:I,MATCH(A:A,'2023 IMD UPL Data'!B:B,0))),0)</f>
        <v>5473195.2000000002</v>
      </c>
      <c r="AU254" s="72">
        <f>IFERROR(IF(F252="IMD",0,INDEX('2023 OP UPL Data'!J:J,MATCH(A:A,'2023 OP UPL Data'!B:B,0))),0)</f>
        <v>0</v>
      </c>
      <c r="AV254" s="45">
        <f t="shared" si="98"/>
        <v>5473195.2000000002</v>
      </c>
      <c r="AW254" s="72">
        <f>IFERROR(IFERROR(INDEX('2023 IP UPL Data'!M:M,MATCH(A:A,'2023 IP UPL Data'!B:B,0)),INDEX('2023 IMD UPL Data'!K:K,MATCH(A:A,'2023 IMD UPL Data'!B:B,0))),0)</f>
        <v>2131571.4</v>
      </c>
      <c r="AX254" s="72">
        <f>IFERROR(IF(F252="IMD",0,INDEX('2023 OP UPL Data'!L:L,MATCH(A:A,'2023 OP UPL Data'!B:B,0))),0)</f>
        <v>0</v>
      </c>
      <c r="AY254" s="45">
        <f t="shared" si="99"/>
        <v>2131571.4</v>
      </c>
      <c r="AZ254" s="72">
        <v>7449064.7076936979</v>
      </c>
      <c r="BA254" s="72">
        <v>0</v>
      </c>
      <c r="BB254" s="72">
        <f t="shared" si="100"/>
        <v>6578374.9611735698</v>
      </c>
      <c r="BC254" s="72">
        <f t="shared" si="100"/>
        <v>0</v>
      </c>
      <c r="BD254" s="72">
        <f t="shared" si="101"/>
        <v>6578374.9611735698</v>
      </c>
      <c r="BE254" s="94">
        <f t="shared" si="102"/>
        <v>5317493.3076936975</v>
      </c>
      <c r="BF254" s="94">
        <f t="shared" si="102"/>
        <v>0</v>
      </c>
      <c r="BG254" s="73">
        <f>IFERROR(INDEX('2023 IP UPL Data'!K:K,MATCH(A254,'2023 IP UPL Data'!B:B,0)),0)</f>
        <v>0</v>
      </c>
    </row>
    <row r="255" spans="1:59">
      <c r="A255" s="124" t="s">
        <v>73</v>
      </c>
      <c r="B255" s="149" t="s">
        <v>73</v>
      </c>
      <c r="C255" s="31" t="s">
        <v>74</v>
      </c>
      <c r="D255" s="181" t="s">
        <v>74</v>
      </c>
      <c r="E255" s="144" t="s">
        <v>3534</v>
      </c>
      <c r="F255" s="120" t="s">
        <v>2768</v>
      </c>
      <c r="G255" s="120" t="s">
        <v>1553</v>
      </c>
      <c r="H255" s="43" t="str">
        <f t="shared" si="82"/>
        <v>Rural Nueces</v>
      </c>
      <c r="I255" s="45">
        <f>INDEX(FeeCalc!M:M,MATCH(C:C,FeeCalc!F:F,0))</f>
        <v>1964910.483999324</v>
      </c>
      <c r="J255" s="45">
        <f>INDEX(FeeCalc!L:L,MATCH(C:C,FeeCalc!F:F,0))</f>
        <v>4669193.9334067358</v>
      </c>
      <c r="K255" s="45">
        <f t="shared" si="83"/>
        <v>6634104.4174060598</v>
      </c>
      <c r="L255" s="45">
        <f>IFERROR(IFERROR(INDEX('2023 IP UPL Data'!N:N,MATCH(A:A,'2023 IP UPL Data'!B:B,0)),INDEX('2023 IMD UPL Data'!M:M,MATCH(A:A,'2023 IMD UPL Data'!B:B,0))),0)</f>
        <v>526663.21285723266</v>
      </c>
      <c r="M255" s="45">
        <f>IFERROR((IF(F255="IMD",0,INDEX('2023 OP UPL Data'!M:M,MATCH(A:A,'2023 OP UPL Data'!B:B,0)))),0)</f>
        <v>1264741.8067901235</v>
      </c>
      <c r="N255" s="45">
        <f t="shared" si="84"/>
        <v>1791405.0196473561</v>
      </c>
      <c r="O255" s="45">
        <v>1887871.4033663657</v>
      </c>
      <c r="P255" s="45">
        <v>3017507.0203962065</v>
      </c>
      <c r="Q255" s="45">
        <f t="shared" si="85"/>
        <v>4905378.423762572</v>
      </c>
      <c r="R255" s="45" t="str">
        <f t="shared" si="86"/>
        <v>Yes</v>
      </c>
      <c r="S255" s="46" t="str">
        <f t="shared" si="86"/>
        <v>Yes</v>
      </c>
      <c r="T255" s="47">
        <f>ROUND(INDEX(Summary!H:H,MATCH(H:H,Summary!A:A,0)),2)</f>
        <v>0.12</v>
      </c>
      <c r="U255" s="47">
        <f>ROUND(INDEX(Summary!I:I,MATCH(H:H,Summary!A:A,0)),2)</f>
        <v>0.17</v>
      </c>
      <c r="V255" s="85">
        <f t="shared" si="87"/>
        <v>235789.25807991889</v>
      </c>
      <c r="W255" s="85">
        <f t="shared" si="87"/>
        <v>793762.96867914509</v>
      </c>
      <c r="X255" s="45">
        <f t="shared" si="88"/>
        <v>1029552.226759064</v>
      </c>
      <c r="Y255" s="45" t="s">
        <v>3223</v>
      </c>
      <c r="Z255" s="45" t="str">
        <f t="shared" si="89"/>
        <v>Yes</v>
      </c>
      <c r="AA255" s="45" t="str">
        <f t="shared" si="89"/>
        <v>Yes</v>
      </c>
      <c r="AB255" s="45" t="str">
        <f t="shared" si="90"/>
        <v>Yes</v>
      </c>
      <c r="AC255" s="86">
        <f t="shared" si="103"/>
        <v>0.59</v>
      </c>
      <c r="AD255" s="86">
        <f t="shared" si="104"/>
        <v>0.33</v>
      </c>
      <c r="AE255" s="45">
        <f t="shared" si="105"/>
        <v>1159297.1855596011</v>
      </c>
      <c r="AF255" s="45">
        <f t="shared" si="105"/>
        <v>1540833.9980242229</v>
      </c>
      <c r="AG255" s="45">
        <f t="shared" si="91"/>
        <v>2700131.183583824</v>
      </c>
      <c r="AH255" s="47">
        <f>IF(Y255="No",0,IFERROR(ROUNDDOWN(INDEX('90% of ACR'!K:K,MATCH(H:H,'90% of ACR'!A:A,0))*IF(I255&gt;0,IF(O255&gt;0,$R$4*MAX(O255-V255,0),0),0)/I255,2),0))</f>
        <v>0.34</v>
      </c>
      <c r="AI255" s="86">
        <f>IF(Y255="No",0,IFERROR(ROUNDDOWN(INDEX('90% of ACR'!R:R,MATCH(H:H,'90% of ACR'!A:A,0))*IF(J255&gt;0,IF(P255&gt;0,$R$4*MAX(P255-W255,0),0),0)/J255,2),0))</f>
        <v>0.33</v>
      </c>
      <c r="AJ255" s="45">
        <f t="shared" si="92"/>
        <v>668069.56455977017</v>
      </c>
      <c r="AK255" s="45">
        <f t="shared" si="92"/>
        <v>1540833.9980242229</v>
      </c>
      <c r="AL255" s="47">
        <f t="shared" si="93"/>
        <v>0.46</v>
      </c>
      <c r="AM255" s="47">
        <f t="shared" si="93"/>
        <v>0.5</v>
      </c>
      <c r="AN255" s="87">
        <f>IFERROR(INDEX(FeeCalc!P:P,MATCH(C255,FeeCalc!F:F,0)),0)</f>
        <v>3238455.7893430572</v>
      </c>
      <c r="AO255" s="87">
        <f>IFERROR(INDEX(FeeCalc!S:S,MATCH(C255,FeeCalc!F:F,0)),0)</f>
        <v>200581.29976150603</v>
      </c>
      <c r="AP255" s="87">
        <f t="shared" si="94"/>
        <v>3439037.089104563</v>
      </c>
      <c r="AQ255" s="72">
        <f t="shared" si="95"/>
        <v>1459293.4860939176</v>
      </c>
      <c r="AR255" s="72">
        <f t="shared" si="96"/>
        <v>729646.74304695881</v>
      </c>
      <c r="AS255" s="72">
        <f t="shared" si="97"/>
        <v>729646.74304695881</v>
      </c>
      <c r="AT255" s="72">
        <f>IFERROR(IFERROR(INDEX('2023 IP UPL Data'!L:L,MATCH(A:A,'2023 IP UPL Data'!B:B,0)),INDEX('2023 IMD UPL Data'!I:I,MATCH(A:A,'2023 IMD UPL Data'!B:B,0))),0)</f>
        <v>1836554.7971427671</v>
      </c>
      <c r="AU255" s="72">
        <f>IFERROR(IF(F253="IMD",0,INDEX('2023 OP UPL Data'!J:J,MATCH(A:A,'2023 OP UPL Data'!B:B,0))),0)</f>
        <v>1158239.2632098764</v>
      </c>
      <c r="AV255" s="45">
        <f t="shared" si="98"/>
        <v>2994794.0603526435</v>
      </c>
      <c r="AW255" s="72">
        <f>IFERROR(IFERROR(INDEX('2023 IP UPL Data'!M:M,MATCH(A:A,'2023 IP UPL Data'!B:B,0)),INDEX('2023 IMD UPL Data'!K:K,MATCH(A:A,'2023 IMD UPL Data'!B:B,0))),0)</f>
        <v>2363218.0099999998</v>
      </c>
      <c r="AX255" s="72">
        <f>IFERROR(IF(F253="IMD",0,INDEX('2023 OP UPL Data'!L:L,MATCH(A:A,'2023 OP UPL Data'!B:B,0))),0)</f>
        <v>2422981.0699999998</v>
      </c>
      <c r="AY255" s="45">
        <f t="shared" si="99"/>
        <v>4786199.08</v>
      </c>
      <c r="AZ255" s="72">
        <v>3724426.2005091328</v>
      </c>
      <c r="BA255" s="72">
        <v>4175746.2836060831</v>
      </c>
      <c r="BB255" s="72">
        <f t="shared" si="100"/>
        <v>3488636.9424292138</v>
      </c>
      <c r="BC255" s="72">
        <f t="shared" si="100"/>
        <v>3381983.3149269382</v>
      </c>
      <c r="BD255" s="72">
        <f t="shared" si="101"/>
        <v>6870620.2573561519</v>
      </c>
      <c r="BE255" s="94">
        <f t="shared" si="102"/>
        <v>1361208.190509133</v>
      </c>
      <c r="BF255" s="94">
        <f t="shared" si="102"/>
        <v>1752765.2136060833</v>
      </c>
      <c r="BG255" s="73">
        <f>IFERROR(INDEX('2023 IP UPL Data'!K:K,MATCH(A255,'2023 IP UPL Data'!B:B,0)),0)</f>
        <v>0</v>
      </c>
    </row>
    <row r="256" spans="1:59">
      <c r="A256" s="124" t="s">
        <v>602</v>
      </c>
      <c r="B256" s="149" t="s">
        <v>602</v>
      </c>
      <c r="C256" s="31" t="s">
        <v>603</v>
      </c>
      <c r="D256" s="181" t="s">
        <v>603</v>
      </c>
      <c r="E256" s="144" t="s">
        <v>604</v>
      </c>
      <c r="F256" s="120" t="s">
        <v>2768</v>
      </c>
      <c r="G256" s="120" t="s">
        <v>1553</v>
      </c>
      <c r="H256" s="43" t="str">
        <f t="shared" si="82"/>
        <v>Rural Nueces</v>
      </c>
      <c r="I256" s="45">
        <f>INDEX(FeeCalc!M:M,MATCH(C:C,FeeCalc!F:F,0))</f>
        <v>1373566.3048735</v>
      </c>
      <c r="J256" s="45">
        <f>INDEX(FeeCalc!L:L,MATCH(C:C,FeeCalc!F:F,0))</f>
        <v>2329923.3798108445</v>
      </c>
      <c r="K256" s="45">
        <f t="shared" si="83"/>
        <v>3703489.6846843446</v>
      </c>
      <c r="L256" s="45">
        <f>IFERROR(IFERROR(INDEX('2023 IP UPL Data'!N:N,MATCH(A:A,'2023 IP UPL Data'!B:B,0)),INDEX('2023 IMD UPL Data'!M:M,MATCH(A:A,'2023 IMD UPL Data'!B:B,0))),0)</f>
        <v>194401.28932418744</v>
      </c>
      <c r="M256" s="45">
        <f>IFERROR((IF(F256="IMD",0,INDEX('2023 OP UPL Data'!M:M,MATCH(A:A,'2023 OP UPL Data'!B:B,0)))),0)</f>
        <v>579901.46703703713</v>
      </c>
      <c r="N256" s="45">
        <f t="shared" si="84"/>
        <v>774302.75636122457</v>
      </c>
      <c r="O256" s="45">
        <v>244115.29976019287</v>
      </c>
      <c r="P256" s="45">
        <v>1954311.41232464</v>
      </c>
      <c r="Q256" s="45">
        <f t="shared" si="85"/>
        <v>2198426.7120848326</v>
      </c>
      <c r="R256" s="45" t="str">
        <f t="shared" si="86"/>
        <v>Yes</v>
      </c>
      <c r="S256" s="46" t="str">
        <f t="shared" si="86"/>
        <v>Yes</v>
      </c>
      <c r="T256" s="47">
        <f>ROUND(INDEX(Summary!H:H,MATCH(H:H,Summary!A:A,0)),2)</f>
        <v>0.12</v>
      </c>
      <c r="U256" s="47">
        <f>ROUND(INDEX(Summary!I:I,MATCH(H:H,Summary!A:A,0)),2)</f>
        <v>0.17</v>
      </c>
      <c r="V256" s="85">
        <f t="shared" si="87"/>
        <v>164827.95658482</v>
      </c>
      <c r="W256" s="85">
        <f t="shared" si="87"/>
        <v>396086.9745678436</v>
      </c>
      <c r="X256" s="45">
        <f t="shared" si="88"/>
        <v>560914.93115266366</v>
      </c>
      <c r="Y256" s="45" t="s">
        <v>3223</v>
      </c>
      <c r="Z256" s="45" t="str">
        <f t="shared" si="89"/>
        <v>Yes</v>
      </c>
      <c r="AA256" s="45" t="str">
        <f t="shared" si="89"/>
        <v>Yes</v>
      </c>
      <c r="AB256" s="45" t="str">
        <f t="shared" si="90"/>
        <v>Yes</v>
      </c>
      <c r="AC256" s="86">
        <f t="shared" si="103"/>
        <v>0.04</v>
      </c>
      <c r="AD256" s="86">
        <f t="shared" si="104"/>
        <v>0.47</v>
      </c>
      <c r="AE256" s="45">
        <f t="shared" si="105"/>
        <v>54942.652194940005</v>
      </c>
      <c r="AF256" s="45">
        <f t="shared" si="105"/>
        <v>1095063.9885110969</v>
      </c>
      <c r="AG256" s="45">
        <f t="shared" si="91"/>
        <v>1150006.6407060369</v>
      </c>
      <c r="AH256" s="47">
        <f>IF(Y256="No",0,IFERROR(ROUNDDOWN(INDEX('90% of ACR'!K:K,MATCH(H:H,'90% of ACR'!A:A,0))*IF(I256&gt;0,IF(O256&gt;0,$R$4*MAX(O256-V256,0),0),0)/I256,2),0))</f>
        <v>0.02</v>
      </c>
      <c r="AI256" s="86">
        <f>IF(Y256="No",0,IFERROR(ROUNDDOWN(INDEX('90% of ACR'!R:R,MATCH(H:H,'90% of ACR'!A:A,0))*IF(J256&gt;0,IF(P256&gt;0,$R$4*MAX(P256-W256,0),0),0)/J256,2),0))</f>
        <v>0.46</v>
      </c>
      <c r="AJ256" s="45">
        <f t="shared" si="92"/>
        <v>27471.326097470002</v>
      </c>
      <c r="AK256" s="45">
        <f t="shared" si="92"/>
        <v>1071764.7547129886</v>
      </c>
      <c r="AL256" s="47">
        <f t="shared" si="93"/>
        <v>0.13999999999999999</v>
      </c>
      <c r="AM256" s="47">
        <f t="shared" si="93"/>
        <v>0.63</v>
      </c>
      <c r="AN256" s="87">
        <f>IFERROR(INDEX(FeeCalc!P:P,MATCH(C256,FeeCalc!F:F,0)),0)</f>
        <v>1660151.0119631221</v>
      </c>
      <c r="AO256" s="87">
        <f>IFERROR(INDEX(FeeCalc!S:S,MATCH(C256,FeeCalc!F:F,0)),0)</f>
        <v>102418.06641653752</v>
      </c>
      <c r="AP256" s="87">
        <f t="shared" si="94"/>
        <v>1762569.0783796597</v>
      </c>
      <c r="AQ256" s="72">
        <f t="shared" si="95"/>
        <v>747914.46216699784</v>
      </c>
      <c r="AR256" s="72">
        <f t="shared" si="96"/>
        <v>373957.23108349892</v>
      </c>
      <c r="AS256" s="72">
        <f t="shared" si="97"/>
        <v>373957.23108349892</v>
      </c>
      <c r="AT256" s="72">
        <f>IFERROR(IFERROR(INDEX('2023 IP UPL Data'!L:L,MATCH(A:A,'2023 IP UPL Data'!B:B,0)),INDEX('2023 IMD UPL Data'!I:I,MATCH(A:A,'2023 IMD UPL Data'!B:B,0))),0)</f>
        <v>2066160.0106758124</v>
      </c>
      <c r="AU256" s="72">
        <f>IFERROR(IF(F254="IMD",0,INDEX('2023 OP UPL Data'!J:J,MATCH(A:A,'2023 OP UPL Data'!B:B,0))),0)</f>
        <v>829739.34296296292</v>
      </c>
      <c r="AV256" s="45">
        <f t="shared" si="98"/>
        <v>2895899.3536387752</v>
      </c>
      <c r="AW256" s="72">
        <f>IFERROR(IFERROR(INDEX('2023 IP UPL Data'!M:M,MATCH(A:A,'2023 IP UPL Data'!B:B,0)),INDEX('2023 IMD UPL Data'!K:K,MATCH(A:A,'2023 IMD UPL Data'!B:B,0))),0)</f>
        <v>2260561.2999999998</v>
      </c>
      <c r="AX256" s="72">
        <f>IFERROR(IF(F254="IMD",0,INDEX('2023 OP UPL Data'!L:L,MATCH(A:A,'2023 OP UPL Data'!B:B,0))),0)</f>
        <v>1409640.81</v>
      </c>
      <c r="AY256" s="45">
        <f t="shared" si="99"/>
        <v>3670202.11</v>
      </c>
      <c r="AZ256" s="72">
        <v>2310275.3104360052</v>
      </c>
      <c r="BA256" s="72">
        <v>2784050.755287603</v>
      </c>
      <c r="BB256" s="72">
        <f t="shared" si="100"/>
        <v>2145447.3538511852</v>
      </c>
      <c r="BC256" s="72">
        <f t="shared" si="100"/>
        <v>2387963.7807197594</v>
      </c>
      <c r="BD256" s="72">
        <f t="shared" si="101"/>
        <v>4533411.1345709451</v>
      </c>
      <c r="BE256" s="94">
        <f t="shared" si="102"/>
        <v>49714.010436005425</v>
      </c>
      <c r="BF256" s="94">
        <f t="shared" si="102"/>
        <v>1374409.945287603</v>
      </c>
      <c r="BG256" s="73">
        <f>IFERROR(INDEX('2023 IP UPL Data'!K:K,MATCH(A256,'2023 IP UPL Data'!B:B,0)),0)</f>
        <v>0</v>
      </c>
    </row>
    <row r="257" spans="1:59">
      <c r="A257" s="124" t="s">
        <v>1363</v>
      </c>
      <c r="B257" s="149" t="s">
        <v>1363</v>
      </c>
      <c r="C257" s="31" t="s">
        <v>1364</v>
      </c>
      <c r="D257" s="181" t="s">
        <v>1364</v>
      </c>
      <c r="E257" s="144" t="s">
        <v>3340</v>
      </c>
      <c r="F257" s="120" t="s">
        <v>2718</v>
      </c>
      <c r="G257" s="120" t="s">
        <v>1366</v>
      </c>
      <c r="H257" s="43" t="str">
        <f t="shared" si="82"/>
        <v>Urban Tarrant</v>
      </c>
      <c r="I257" s="45">
        <f>INDEX(FeeCalc!M:M,MATCH(C:C,FeeCalc!F:F,0))</f>
        <v>0</v>
      </c>
      <c r="J257" s="45">
        <f>INDEX(FeeCalc!L:L,MATCH(C:C,FeeCalc!F:F,0))</f>
        <v>72653.618901616166</v>
      </c>
      <c r="K257" s="45">
        <f t="shared" si="83"/>
        <v>72653.618901616166</v>
      </c>
      <c r="L257" s="45">
        <f>IFERROR(IFERROR(INDEX('2023 IP UPL Data'!N:N,MATCH(A:A,'2023 IP UPL Data'!B:B,0)),INDEX('2023 IMD UPL Data'!M:M,MATCH(A:A,'2023 IMD UPL Data'!B:B,0))),0)</f>
        <v>807747.58007518773</v>
      </c>
      <c r="M257" s="45">
        <f>IFERROR((IF(F257="IMD",0,INDEX('2023 OP UPL Data'!M:M,MATCH(A:A,'2023 OP UPL Data'!B:B,0)))),0)</f>
        <v>210644.41037593983</v>
      </c>
      <c r="N257" s="45">
        <f t="shared" si="84"/>
        <v>1018391.9904511275</v>
      </c>
      <c r="O257" s="45">
        <v>713100.67850382987</v>
      </c>
      <c r="P257" s="45">
        <v>75878.640691842302</v>
      </c>
      <c r="Q257" s="45">
        <f t="shared" si="85"/>
        <v>788979.31919567217</v>
      </c>
      <c r="R257" s="45" t="str">
        <f t="shared" si="86"/>
        <v>Yes</v>
      </c>
      <c r="S257" s="46" t="str">
        <f t="shared" si="86"/>
        <v>Yes</v>
      </c>
      <c r="T257" s="47">
        <f>ROUND(INDEX(Summary!H:H,MATCH(H:H,Summary!A:A,0)),2)</f>
        <v>1.68</v>
      </c>
      <c r="U257" s="47">
        <f>ROUND(INDEX(Summary!I:I,MATCH(H:H,Summary!A:A,0)),2)</f>
        <v>1.42</v>
      </c>
      <c r="V257" s="85">
        <f t="shared" si="87"/>
        <v>0</v>
      </c>
      <c r="W257" s="85">
        <f t="shared" si="87"/>
        <v>103168.13884029495</v>
      </c>
      <c r="X257" s="45">
        <f t="shared" si="88"/>
        <v>103168.13884029495</v>
      </c>
      <c r="Y257" s="45" t="s">
        <v>3223</v>
      </c>
      <c r="Z257" s="45" t="str">
        <f t="shared" si="89"/>
        <v>No</v>
      </c>
      <c r="AA257" s="45" t="str">
        <f t="shared" si="89"/>
        <v>No</v>
      </c>
      <c r="AB257" s="45" t="str">
        <f t="shared" si="90"/>
        <v>No</v>
      </c>
      <c r="AC257" s="86">
        <f t="shared" si="103"/>
        <v>0</v>
      </c>
      <c r="AD257" s="86">
        <f t="shared" si="104"/>
        <v>0</v>
      </c>
      <c r="AE257" s="45">
        <f t="shared" si="105"/>
        <v>0</v>
      </c>
      <c r="AF257" s="45">
        <f t="shared" si="105"/>
        <v>0</v>
      </c>
      <c r="AG257" s="45">
        <f t="shared" si="91"/>
        <v>0</v>
      </c>
      <c r="AH257" s="47">
        <f>IF(Y257="No",0,IFERROR(ROUNDDOWN(INDEX('90% of ACR'!K:K,MATCH(H:H,'90% of ACR'!A:A,0))*IF(I257&gt;0,IF(O257&gt;0,$R$4*MAX(O257-V257,0),0),0)/I257,2),0))</f>
        <v>0</v>
      </c>
      <c r="AI257" s="86">
        <f>IF(Y257="No",0,IFERROR(ROUNDDOWN(INDEX('90% of ACR'!R:R,MATCH(H:H,'90% of ACR'!A:A,0))*IF(J257&gt;0,IF(P257&gt;0,$R$4*MAX(P257-W257,0),0),0)/J257,2),0))</f>
        <v>0</v>
      </c>
      <c r="AJ257" s="45">
        <f t="shared" si="92"/>
        <v>0</v>
      </c>
      <c r="AK257" s="45">
        <f t="shared" si="92"/>
        <v>0</v>
      </c>
      <c r="AL257" s="47">
        <f t="shared" si="93"/>
        <v>1.68</v>
      </c>
      <c r="AM257" s="47">
        <f t="shared" si="93"/>
        <v>1.42</v>
      </c>
      <c r="AN257" s="87">
        <f>IFERROR(INDEX(FeeCalc!P:P,MATCH(C257,FeeCalc!F:F,0)),0)</f>
        <v>103168.13884029495</v>
      </c>
      <c r="AO257" s="87">
        <f>IFERROR(INDEX(FeeCalc!S:S,MATCH(C257,FeeCalc!F:F,0)),0)</f>
        <v>6501.9639784368801</v>
      </c>
      <c r="AP257" s="87">
        <f t="shared" si="94"/>
        <v>109670.10281873183</v>
      </c>
      <c r="AQ257" s="72">
        <f t="shared" si="95"/>
        <v>46536.534069278117</v>
      </c>
      <c r="AR257" s="72">
        <f t="shared" si="96"/>
        <v>23268.267034639059</v>
      </c>
      <c r="AS257" s="72">
        <f t="shared" si="97"/>
        <v>23268.267034639059</v>
      </c>
      <c r="AT257" s="72">
        <f>IFERROR(IFERROR(INDEX('2023 IP UPL Data'!L:L,MATCH(A:A,'2023 IP UPL Data'!B:B,0)),INDEX('2023 IMD UPL Data'!I:I,MATCH(A:A,'2023 IMD UPL Data'!B:B,0))),0)</f>
        <v>865488.91992481227</v>
      </c>
      <c r="AU257" s="72">
        <f>IFERROR(IF(F255="IMD",0,INDEX('2023 OP UPL Data'!J:J,MATCH(A:A,'2023 OP UPL Data'!B:B,0))),0)</f>
        <v>105368.49962406015</v>
      </c>
      <c r="AV257" s="45">
        <f t="shared" si="98"/>
        <v>970857.41954887239</v>
      </c>
      <c r="AW257" s="72">
        <f>IFERROR(IFERROR(INDEX('2023 IP UPL Data'!M:M,MATCH(A:A,'2023 IP UPL Data'!B:B,0)),INDEX('2023 IMD UPL Data'!K:K,MATCH(A:A,'2023 IMD UPL Data'!B:B,0))),0)</f>
        <v>1673236.5</v>
      </c>
      <c r="AX257" s="72">
        <f>IFERROR(IF(F255="IMD",0,INDEX('2023 OP UPL Data'!L:L,MATCH(A:A,'2023 OP UPL Data'!B:B,0))),0)</f>
        <v>316012.90999999997</v>
      </c>
      <c r="AY257" s="45">
        <f t="shared" si="99"/>
        <v>1989249.41</v>
      </c>
      <c r="AZ257" s="72">
        <v>1578589.5984286421</v>
      </c>
      <c r="BA257" s="72">
        <v>181247.14031590245</v>
      </c>
      <c r="BB257" s="72">
        <f t="shared" si="100"/>
        <v>1578589.5984286421</v>
      </c>
      <c r="BC257" s="72">
        <f t="shared" si="100"/>
        <v>78079.001475607496</v>
      </c>
      <c r="BD257" s="72">
        <f t="shared" si="101"/>
        <v>1656668.5999042497</v>
      </c>
      <c r="BE257" s="94">
        <f t="shared" si="102"/>
        <v>0</v>
      </c>
      <c r="BF257" s="94">
        <f t="shared" si="102"/>
        <v>0</v>
      </c>
      <c r="BG257" s="73">
        <f>IFERROR(INDEX('2023 IP UPL Data'!K:K,MATCH(A257,'2023 IP UPL Data'!B:B,0)),0)</f>
        <v>0</v>
      </c>
    </row>
    <row r="258" spans="1:59">
      <c r="A258" s="124" t="s">
        <v>608</v>
      </c>
      <c r="B258" s="149" t="s">
        <v>608</v>
      </c>
      <c r="C258" s="31" t="s">
        <v>609</v>
      </c>
      <c r="D258" s="181" t="s">
        <v>609</v>
      </c>
      <c r="E258" s="144" t="s">
        <v>610</v>
      </c>
      <c r="F258" s="120" t="s">
        <v>2768</v>
      </c>
      <c r="G258" s="120" t="s">
        <v>1553</v>
      </c>
      <c r="H258" s="43" t="str">
        <f t="shared" si="82"/>
        <v>Rural Nueces</v>
      </c>
      <c r="I258" s="45">
        <f>INDEX(FeeCalc!M:M,MATCH(C:C,FeeCalc!F:F,0))</f>
        <v>2525406.296138267</v>
      </c>
      <c r="J258" s="45">
        <f>INDEX(FeeCalc!L:L,MATCH(C:C,FeeCalc!F:F,0))</f>
        <v>2082036.943060481</v>
      </c>
      <c r="K258" s="45">
        <f t="shared" si="83"/>
        <v>4607443.239198748</v>
      </c>
      <c r="L258" s="45">
        <f>IFERROR(IFERROR(INDEX('2023 IP UPL Data'!N:N,MATCH(A:A,'2023 IP UPL Data'!B:B,0)),INDEX('2023 IMD UPL Data'!M:M,MATCH(A:A,'2023 IMD UPL Data'!B:B,0))),0)</f>
        <v>-173483.55608244147</v>
      </c>
      <c r="M258" s="45">
        <f>IFERROR((IF(F258="IMD",0,INDEX('2023 OP UPL Data'!M:M,MATCH(A:A,'2023 OP UPL Data'!B:B,0)))),0)</f>
        <v>458429.97012345679</v>
      </c>
      <c r="N258" s="45">
        <f t="shared" si="84"/>
        <v>284946.41404101532</v>
      </c>
      <c r="O258" s="45">
        <v>494040.3085947549</v>
      </c>
      <c r="P258" s="45">
        <v>2319025.0922604604</v>
      </c>
      <c r="Q258" s="45">
        <f t="shared" si="85"/>
        <v>2813065.4008552153</v>
      </c>
      <c r="R258" s="45" t="str">
        <f t="shared" si="86"/>
        <v>Yes</v>
      </c>
      <c r="S258" s="46" t="str">
        <f t="shared" si="86"/>
        <v>Yes</v>
      </c>
      <c r="T258" s="47">
        <f>ROUND(INDEX(Summary!H:H,MATCH(H:H,Summary!A:A,0)),2)</f>
        <v>0.12</v>
      </c>
      <c r="U258" s="47">
        <f>ROUND(INDEX(Summary!I:I,MATCH(H:H,Summary!A:A,0)),2)</f>
        <v>0.17</v>
      </c>
      <c r="V258" s="85">
        <f t="shared" si="87"/>
        <v>303048.75553659204</v>
      </c>
      <c r="W258" s="85">
        <f t="shared" si="87"/>
        <v>353946.2803202818</v>
      </c>
      <c r="X258" s="45">
        <f t="shared" si="88"/>
        <v>656995.03585687384</v>
      </c>
      <c r="Y258" s="45" t="s">
        <v>3223</v>
      </c>
      <c r="Z258" s="45" t="str">
        <f t="shared" si="89"/>
        <v>Yes</v>
      </c>
      <c r="AA258" s="45" t="str">
        <f t="shared" si="89"/>
        <v>Yes</v>
      </c>
      <c r="AB258" s="45" t="str">
        <f t="shared" si="90"/>
        <v>Yes</v>
      </c>
      <c r="AC258" s="86">
        <f t="shared" si="103"/>
        <v>0.05</v>
      </c>
      <c r="AD258" s="86">
        <f t="shared" si="104"/>
        <v>0.66</v>
      </c>
      <c r="AE258" s="45">
        <f t="shared" si="105"/>
        <v>126270.31480691336</v>
      </c>
      <c r="AF258" s="45">
        <f t="shared" si="105"/>
        <v>1374144.3824199175</v>
      </c>
      <c r="AG258" s="45">
        <f t="shared" si="91"/>
        <v>1500414.6972268308</v>
      </c>
      <c r="AH258" s="47">
        <f>IF(Y258="No",0,IFERROR(ROUNDDOWN(INDEX('90% of ACR'!K:K,MATCH(H:H,'90% of ACR'!A:A,0))*IF(I258&gt;0,IF(O258&gt;0,$R$4*MAX(O258-V258,0),0),0)/I258,2),0))</f>
        <v>0.03</v>
      </c>
      <c r="AI258" s="86">
        <f>IF(Y258="No",0,IFERROR(ROUNDDOWN(INDEX('90% of ACR'!R:R,MATCH(H:H,'90% of ACR'!A:A,0))*IF(J258&gt;0,IF(P258&gt;0,$R$4*MAX(P258-W258,0),0),0)/J258,2),0))</f>
        <v>0.65</v>
      </c>
      <c r="AJ258" s="45">
        <f t="shared" si="92"/>
        <v>75762.18888414801</v>
      </c>
      <c r="AK258" s="45">
        <f t="shared" si="92"/>
        <v>1353324.0129893126</v>
      </c>
      <c r="AL258" s="47">
        <f t="shared" si="93"/>
        <v>0.15</v>
      </c>
      <c r="AM258" s="47">
        <f t="shared" si="93"/>
        <v>0.82000000000000006</v>
      </c>
      <c r="AN258" s="87">
        <f>IFERROR(INDEX(FeeCalc!P:P,MATCH(C258,FeeCalc!F:F,0)),0)</f>
        <v>2086081.2377303345</v>
      </c>
      <c r="AO258" s="87">
        <f>IFERROR(INDEX(FeeCalc!S:S,MATCH(C258,FeeCalc!F:F,0)),0)</f>
        <v>128821.63704764137</v>
      </c>
      <c r="AP258" s="87">
        <f t="shared" si="94"/>
        <v>2214902.874777976</v>
      </c>
      <c r="AQ258" s="72">
        <f t="shared" si="95"/>
        <v>939854.16666028823</v>
      </c>
      <c r="AR258" s="72">
        <f t="shared" si="96"/>
        <v>469927.08333014412</v>
      </c>
      <c r="AS258" s="72">
        <f t="shared" si="97"/>
        <v>469927.08333014412</v>
      </c>
      <c r="AT258" s="72">
        <f>IFERROR(IFERROR(INDEX('2023 IP UPL Data'!L:L,MATCH(A:A,'2023 IP UPL Data'!B:B,0)),INDEX('2023 IMD UPL Data'!I:I,MATCH(A:A,'2023 IMD UPL Data'!B:B,0))),0)</f>
        <v>3042402.8560824413</v>
      </c>
      <c r="AU258" s="72">
        <f>IFERROR(IF(F256="IMD",0,INDEX('2023 OP UPL Data'!J:J,MATCH(A:A,'2023 OP UPL Data'!B:B,0))),0)</f>
        <v>874215.96987654315</v>
      </c>
      <c r="AV258" s="45">
        <f t="shared" si="98"/>
        <v>3916618.8259589844</v>
      </c>
      <c r="AW258" s="72">
        <f>IFERROR(IFERROR(INDEX('2023 IP UPL Data'!M:M,MATCH(A:A,'2023 IP UPL Data'!B:B,0)),INDEX('2023 IMD UPL Data'!K:K,MATCH(A:A,'2023 IMD UPL Data'!B:B,0))),0)</f>
        <v>2868919.3</v>
      </c>
      <c r="AX258" s="72">
        <f>IFERROR(IF(F256="IMD",0,INDEX('2023 OP UPL Data'!L:L,MATCH(A:A,'2023 OP UPL Data'!B:B,0))),0)</f>
        <v>1332645.94</v>
      </c>
      <c r="AY258" s="45">
        <f t="shared" si="99"/>
        <v>4201565.24</v>
      </c>
      <c r="AZ258" s="72">
        <v>3536443.1646771962</v>
      </c>
      <c r="BA258" s="72">
        <v>3193241.0621370035</v>
      </c>
      <c r="BB258" s="72">
        <f t="shared" si="100"/>
        <v>3233394.4091406041</v>
      </c>
      <c r="BC258" s="72">
        <f t="shared" si="100"/>
        <v>2839294.7818167219</v>
      </c>
      <c r="BD258" s="72">
        <f t="shared" si="101"/>
        <v>6072689.1909573255</v>
      </c>
      <c r="BE258" s="94">
        <f t="shared" si="102"/>
        <v>667523.86467719637</v>
      </c>
      <c r="BF258" s="94">
        <f t="shared" si="102"/>
        <v>1860595.1221370036</v>
      </c>
      <c r="BG258" s="73">
        <f>IFERROR(INDEX('2023 IP UPL Data'!K:K,MATCH(A258,'2023 IP UPL Data'!B:B,0)),0)</f>
        <v>0</v>
      </c>
    </row>
    <row r="259" spans="1:59">
      <c r="A259" s="124" t="s">
        <v>1560</v>
      </c>
      <c r="B259" s="149" t="s">
        <v>1560</v>
      </c>
      <c r="C259" s="31" t="s">
        <v>2070</v>
      </c>
      <c r="D259" s="181" t="s">
        <v>2070</v>
      </c>
      <c r="E259" s="144" t="s">
        <v>728</v>
      </c>
      <c r="F259" s="120" t="s">
        <v>2718</v>
      </c>
      <c r="G259" s="120" t="s">
        <v>1553</v>
      </c>
      <c r="H259" s="43" t="str">
        <f t="shared" si="82"/>
        <v>Urban Nueces</v>
      </c>
      <c r="I259" s="45">
        <f>INDEX(FeeCalc!M:M,MATCH(C:C,FeeCalc!F:F,0))</f>
        <v>16332531.549446503</v>
      </c>
      <c r="J259" s="45">
        <f>INDEX(FeeCalc!L:L,MATCH(C:C,FeeCalc!F:F,0))</f>
        <v>6798252.9578055041</v>
      </c>
      <c r="K259" s="45">
        <f t="shared" si="83"/>
        <v>23130784.507252008</v>
      </c>
      <c r="L259" s="45">
        <f>IFERROR(IFERROR(INDEX('2023 IP UPL Data'!N:N,MATCH(A:A,'2023 IP UPL Data'!B:B,0)),INDEX('2023 IMD UPL Data'!M:M,MATCH(A:A,'2023 IMD UPL Data'!B:B,0))),0)</f>
        <v>5161357.3604938239</v>
      </c>
      <c r="M259" s="45">
        <f>IFERROR((IF(F259="IMD",0,INDEX('2023 OP UPL Data'!M:M,MATCH(A:A,'2023 OP UPL Data'!B:B,0)))),0)</f>
        <v>10946710.855555557</v>
      </c>
      <c r="N259" s="45">
        <f t="shared" si="84"/>
        <v>16108068.216049381</v>
      </c>
      <c r="O259" s="45">
        <v>19044611.200478621</v>
      </c>
      <c r="P259" s="45">
        <v>14556147.661442071</v>
      </c>
      <c r="Q259" s="45">
        <f t="shared" si="85"/>
        <v>33600758.861920692</v>
      </c>
      <c r="R259" s="45" t="str">
        <f t="shared" si="86"/>
        <v>Yes</v>
      </c>
      <c r="S259" s="46" t="str">
        <f t="shared" si="86"/>
        <v>Yes</v>
      </c>
      <c r="T259" s="47">
        <f>ROUND(INDEX(Summary!H:H,MATCH(H:H,Summary!A:A,0)),2)</f>
        <v>0.66</v>
      </c>
      <c r="U259" s="47">
        <f>ROUND(INDEX(Summary!I:I,MATCH(H:H,Summary!A:A,0)),2)</f>
        <v>1.49</v>
      </c>
      <c r="V259" s="85">
        <f t="shared" si="87"/>
        <v>10779470.822634691</v>
      </c>
      <c r="W259" s="85">
        <f t="shared" si="87"/>
        <v>10129396.9071302</v>
      </c>
      <c r="X259" s="45">
        <f t="shared" si="88"/>
        <v>20908867.729764894</v>
      </c>
      <c r="Y259" s="45" t="s">
        <v>3223</v>
      </c>
      <c r="Z259" s="45" t="str">
        <f t="shared" si="89"/>
        <v>Yes</v>
      </c>
      <c r="AA259" s="45" t="str">
        <f t="shared" si="89"/>
        <v>Yes</v>
      </c>
      <c r="AB259" s="45" t="str">
        <f t="shared" si="90"/>
        <v>Yes</v>
      </c>
      <c r="AC259" s="86">
        <f t="shared" si="103"/>
        <v>0.35</v>
      </c>
      <c r="AD259" s="86">
        <f t="shared" si="104"/>
        <v>0.45</v>
      </c>
      <c r="AE259" s="45">
        <f t="shared" si="105"/>
        <v>5716386.042306276</v>
      </c>
      <c r="AF259" s="45">
        <f t="shared" si="105"/>
        <v>3059213.8310124767</v>
      </c>
      <c r="AG259" s="45">
        <f t="shared" si="91"/>
        <v>8775599.8733187523</v>
      </c>
      <c r="AH259" s="47">
        <f>IF(Y259="No",0,IFERROR(ROUNDDOWN(INDEX('90% of ACR'!K:K,MATCH(H:H,'90% of ACR'!A:A,0))*IF(I259&gt;0,IF(O259&gt;0,$R$4*MAX(O259-V259,0),0),0)/I259,2),0))</f>
        <v>0.35</v>
      </c>
      <c r="AI259" s="86">
        <f>IF(Y259="No",0,IFERROR(ROUNDDOWN(INDEX('90% of ACR'!R:R,MATCH(H:H,'90% of ACR'!A:A,0))*IF(J259&gt;0,IF(P259&gt;0,$R$4*MAX(P259-W259,0),0),0)/J259,2),0))</f>
        <v>0.37</v>
      </c>
      <c r="AJ259" s="45">
        <f t="shared" si="92"/>
        <v>5716386.042306276</v>
      </c>
      <c r="AK259" s="45">
        <f t="shared" si="92"/>
        <v>2515353.5943880365</v>
      </c>
      <c r="AL259" s="47">
        <f t="shared" si="93"/>
        <v>1.01</v>
      </c>
      <c r="AM259" s="47">
        <f t="shared" si="93"/>
        <v>1.8599999999999999</v>
      </c>
      <c r="AN259" s="87">
        <f>IFERROR(INDEX(FeeCalc!P:P,MATCH(C259,FeeCalc!F:F,0)),0)</f>
        <v>29140607.366459206</v>
      </c>
      <c r="AO259" s="87">
        <f>IFERROR(INDEX(FeeCalc!S:S,MATCH(C259,FeeCalc!F:F,0)),0)</f>
        <v>1814506.5459785988</v>
      </c>
      <c r="AP259" s="87">
        <f t="shared" si="94"/>
        <v>30955113.912437804</v>
      </c>
      <c r="AQ259" s="72">
        <f t="shared" si="95"/>
        <v>13135245.396692559</v>
      </c>
      <c r="AR259" s="72">
        <f t="shared" si="96"/>
        <v>6567622.6983462796</v>
      </c>
      <c r="AS259" s="72">
        <f t="shared" si="97"/>
        <v>6567622.6983462796</v>
      </c>
      <c r="AT259" s="72">
        <f>IFERROR(IFERROR(INDEX('2023 IP UPL Data'!L:L,MATCH(A:A,'2023 IP UPL Data'!B:B,0)),INDEX('2023 IMD UPL Data'!I:I,MATCH(A:A,'2023 IMD UPL Data'!B:B,0))),0)</f>
        <v>39684096.529506177</v>
      </c>
      <c r="AU259" s="72">
        <f>IFERROR(IF(F257="IMD",0,INDEX('2023 OP UPL Data'!J:J,MATCH(A:A,'2023 OP UPL Data'!B:B,0))),0)</f>
        <v>5950176.944444444</v>
      </c>
      <c r="AV259" s="45">
        <f t="shared" si="98"/>
        <v>45634273.473950624</v>
      </c>
      <c r="AW259" s="72">
        <f>IFERROR(IFERROR(INDEX('2023 IP UPL Data'!M:M,MATCH(A:A,'2023 IP UPL Data'!B:B,0)),INDEX('2023 IMD UPL Data'!K:K,MATCH(A:A,'2023 IMD UPL Data'!B:B,0))),0)</f>
        <v>44845453.890000001</v>
      </c>
      <c r="AX259" s="72">
        <f>IFERROR(IF(F257="IMD",0,INDEX('2023 OP UPL Data'!L:L,MATCH(A:A,'2023 OP UPL Data'!B:B,0))),0)</f>
        <v>16896887.800000001</v>
      </c>
      <c r="AY259" s="45">
        <f t="shared" si="99"/>
        <v>61742341.689999998</v>
      </c>
      <c r="AZ259" s="72">
        <v>58728707.729984798</v>
      </c>
      <c r="BA259" s="72">
        <v>20506324.605886515</v>
      </c>
      <c r="BB259" s="72">
        <f t="shared" si="100"/>
        <v>47949236.907350108</v>
      </c>
      <c r="BC259" s="72">
        <f t="shared" si="100"/>
        <v>10376927.698756315</v>
      </c>
      <c r="BD259" s="72">
        <f t="shared" si="101"/>
        <v>58326164.606106415</v>
      </c>
      <c r="BE259" s="94">
        <f t="shared" si="102"/>
        <v>13883253.839984797</v>
      </c>
      <c r="BF259" s="94">
        <f t="shared" si="102"/>
        <v>3609436.8058865145</v>
      </c>
      <c r="BG259" s="73">
        <f>IFERROR(INDEX('2023 IP UPL Data'!K:K,MATCH(A259,'2023 IP UPL Data'!B:B,0)),0)</f>
        <v>19989128.190000001</v>
      </c>
    </row>
    <row r="260" spans="1:59">
      <c r="A260" s="124" t="s">
        <v>3281</v>
      </c>
      <c r="B260" s="149" t="s">
        <v>61</v>
      </c>
      <c r="C260" s="31" t="s">
        <v>62</v>
      </c>
      <c r="D260" s="181" t="s">
        <v>62</v>
      </c>
      <c r="E260" s="144" t="s">
        <v>63</v>
      </c>
      <c r="F260" s="120" t="s">
        <v>2718</v>
      </c>
      <c r="G260" s="120" t="s">
        <v>487</v>
      </c>
      <c r="H260" s="43" t="str">
        <f t="shared" si="82"/>
        <v>Urban Bexar</v>
      </c>
      <c r="I260" s="45">
        <f>INDEX(FeeCalc!M:M,MATCH(C:C,FeeCalc!F:F,0))</f>
        <v>12562913.082370743</v>
      </c>
      <c r="J260" s="45">
        <f>INDEX(FeeCalc!L:L,MATCH(C:C,FeeCalc!F:F,0))</f>
        <v>7928579.600233255</v>
      </c>
      <c r="K260" s="45">
        <f t="shared" si="83"/>
        <v>20491492.682604</v>
      </c>
      <c r="L260" s="45">
        <f>IFERROR(IFERROR(INDEX('2023 IP UPL Data'!N:N,MATCH(A:A,'2023 IP UPL Data'!B:B,0)),INDEX('2023 IMD UPL Data'!M:M,MATCH(A:A,'2023 IMD UPL Data'!B:B,0))),0)</f>
        <v>10412894.852269938</v>
      </c>
      <c r="M260" s="45">
        <f>IFERROR((IF(F260="IMD",0,INDEX('2023 OP UPL Data'!M:M,MATCH(A:A,'2023 OP UPL Data'!B:B,0)))),0)</f>
        <v>7378498.3034355817</v>
      </c>
      <c r="N260" s="45">
        <f t="shared" si="84"/>
        <v>17791393.155705519</v>
      </c>
      <c r="O260" s="45">
        <v>22218048.340929352</v>
      </c>
      <c r="P260" s="45">
        <v>11871645.830245432</v>
      </c>
      <c r="Q260" s="45">
        <f t="shared" si="85"/>
        <v>34089694.17117478</v>
      </c>
      <c r="R260" s="45" t="str">
        <f t="shared" si="86"/>
        <v>Yes</v>
      </c>
      <c r="S260" s="46" t="str">
        <f t="shared" si="86"/>
        <v>Yes</v>
      </c>
      <c r="T260" s="47">
        <f>ROUND(INDEX(Summary!H:H,MATCH(H:H,Summary!A:A,0)),2)</f>
        <v>0.71</v>
      </c>
      <c r="U260" s="47">
        <f>ROUND(INDEX(Summary!I:I,MATCH(H:H,Summary!A:A,0)),2)</f>
        <v>0.67</v>
      </c>
      <c r="V260" s="85">
        <f t="shared" si="87"/>
        <v>8919668.2884832267</v>
      </c>
      <c r="W260" s="85">
        <f t="shared" si="87"/>
        <v>5312148.332156281</v>
      </c>
      <c r="X260" s="45">
        <f t="shared" si="88"/>
        <v>14231816.620639507</v>
      </c>
      <c r="Y260" s="45" t="s">
        <v>3223</v>
      </c>
      <c r="Z260" s="45" t="str">
        <f t="shared" si="89"/>
        <v>Yes</v>
      </c>
      <c r="AA260" s="45" t="str">
        <f t="shared" si="89"/>
        <v>Yes</v>
      </c>
      <c r="AB260" s="45" t="str">
        <f t="shared" si="90"/>
        <v>Yes</v>
      </c>
      <c r="AC260" s="86">
        <f t="shared" si="103"/>
        <v>0.74</v>
      </c>
      <c r="AD260" s="86">
        <f t="shared" si="104"/>
        <v>0.57999999999999996</v>
      </c>
      <c r="AE260" s="45">
        <f t="shared" si="105"/>
        <v>9296555.6809543502</v>
      </c>
      <c r="AF260" s="45">
        <f t="shared" si="105"/>
        <v>4598576.1681352872</v>
      </c>
      <c r="AG260" s="45">
        <f t="shared" si="91"/>
        <v>13895131.849089637</v>
      </c>
      <c r="AH260" s="47">
        <f>IF(Y260="No",0,IFERROR(ROUNDDOWN(INDEX('90% of ACR'!K:K,MATCH(H:H,'90% of ACR'!A:A,0))*IF(I260&gt;0,IF(O260&gt;0,$R$4*MAX(O260-V260,0),0),0)/I260,2),0))</f>
        <v>0.54</v>
      </c>
      <c r="AI260" s="86">
        <f>IF(Y260="No",0,IFERROR(ROUNDDOWN(INDEX('90% of ACR'!R:R,MATCH(H:H,'90% of ACR'!A:A,0))*IF(J260&gt;0,IF(P260&gt;0,$R$4*MAX(P260-W260,0),0),0)/J260,2),0))</f>
        <v>0.37</v>
      </c>
      <c r="AJ260" s="45">
        <f t="shared" si="92"/>
        <v>6783973.0644802013</v>
      </c>
      <c r="AK260" s="45">
        <f t="shared" si="92"/>
        <v>2933574.4520863043</v>
      </c>
      <c r="AL260" s="47">
        <f t="shared" si="93"/>
        <v>1.25</v>
      </c>
      <c r="AM260" s="47">
        <f t="shared" si="93"/>
        <v>1.04</v>
      </c>
      <c r="AN260" s="87">
        <f>IFERROR(INDEX(FeeCalc!P:P,MATCH(C260,FeeCalc!F:F,0)),0)</f>
        <v>23949364.137206014</v>
      </c>
      <c r="AO260" s="87">
        <f>IFERROR(INDEX(FeeCalc!S:S,MATCH(C260,FeeCalc!F:F,0)),0)</f>
        <v>1493758.1301815622</v>
      </c>
      <c r="AP260" s="87">
        <f t="shared" si="94"/>
        <v>25443122.267387576</v>
      </c>
      <c r="AQ260" s="72">
        <f t="shared" si="95"/>
        <v>10796330.957965108</v>
      </c>
      <c r="AR260" s="72">
        <f t="shared" si="96"/>
        <v>5398165.4789825538</v>
      </c>
      <c r="AS260" s="72">
        <f t="shared" si="97"/>
        <v>5398165.4789825538</v>
      </c>
      <c r="AT260" s="72">
        <f>IFERROR(IFERROR(INDEX('2023 IP UPL Data'!L:L,MATCH(A:A,'2023 IP UPL Data'!B:B,0)),INDEX('2023 IMD UPL Data'!I:I,MATCH(A:A,'2023 IMD UPL Data'!B:B,0))),0)</f>
        <v>9229392.9877300616</v>
      </c>
      <c r="AU260" s="72">
        <f>IFERROR(IF(F258="IMD",0,INDEX('2023 OP UPL Data'!J:J,MATCH(A:A,'2023 OP UPL Data'!B:B,0))),0)</f>
        <v>2496701.1165644182</v>
      </c>
      <c r="AV260" s="45">
        <f t="shared" si="98"/>
        <v>11726094.104294479</v>
      </c>
      <c r="AW260" s="72">
        <f>IFERROR(IFERROR(INDEX('2023 IP UPL Data'!M:M,MATCH(A:A,'2023 IP UPL Data'!B:B,0)),INDEX('2023 IMD UPL Data'!K:K,MATCH(A:A,'2023 IMD UPL Data'!B:B,0))),0)</f>
        <v>19642287.84</v>
      </c>
      <c r="AX260" s="72">
        <f>IFERROR(IF(F258="IMD",0,INDEX('2023 OP UPL Data'!L:L,MATCH(A:A,'2023 OP UPL Data'!B:B,0))),0)</f>
        <v>9875199.4199999999</v>
      </c>
      <c r="AY260" s="45">
        <f t="shared" si="99"/>
        <v>29517487.259999998</v>
      </c>
      <c r="AZ260" s="72">
        <v>31447441.328659415</v>
      </c>
      <c r="BA260" s="72">
        <v>14368346.946809849</v>
      </c>
      <c r="BB260" s="72">
        <f t="shared" si="100"/>
        <v>22527773.04017619</v>
      </c>
      <c r="BC260" s="72">
        <f t="shared" si="100"/>
        <v>9056198.6146535687</v>
      </c>
      <c r="BD260" s="72">
        <f t="shared" si="101"/>
        <v>31583971.654829759</v>
      </c>
      <c r="BE260" s="94">
        <f t="shared" si="102"/>
        <v>11805153.488659415</v>
      </c>
      <c r="BF260" s="94">
        <f t="shared" si="102"/>
        <v>4493147.5268098488</v>
      </c>
      <c r="BG260" s="73">
        <f>IFERROR(INDEX('2023 IP UPL Data'!K:K,MATCH(A260,'2023 IP UPL Data'!B:B,0)),0)</f>
        <v>0</v>
      </c>
    </row>
    <row r="261" spans="1:59">
      <c r="A261" s="124" t="s">
        <v>70</v>
      </c>
      <c r="B261" s="149" t="s">
        <v>70</v>
      </c>
      <c r="C261" s="31" t="s">
        <v>71</v>
      </c>
      <c r="D261" s="181" t="s">
        <v>71</v>
      </c>
      <c r="E261" s="144" t="s">
        <v>72</v>
      </c>
      <c r="F261" s="120" t="s">
        <v>1552</v>
      </c>
      <c r="G261" s="120" t="s">
        <v>487</v>
      </c>
      <c r="H261" s="43" t="str">
        <f t="shared" si="82"/>
        <v>Children's Bexar</v>
      </c>
      <c r="I261" s="45">
        <f>INDEX(FeeCalc!M:M,MATCH(C:C,FeeCalc!F:F,0))</f>
        <v>65815153.57088694</v>
      </c>
      <c r="J261" s="45">
        <f>INDEX(FeeCalc!L:L,MATCH(C:C,FeeCalc!F:F,0))</f>
        <v>26015046.903575253</v>
      </c>
      <c r="K261" s="45">
        <f t="shared" si="83"/>
        <v>91830200.474462196</v>
      </c>
      <c r="L261" s="45">
        <f>IFERROR(IFERROR(INDEX('2023 IP UPL Data'!N:N,MATCH(A:A,'2023 IP UPL Data'!B:B,0)),INDEX('2023 IMD UPL Data'!M:M,MATCH(A:A,'2023 IMD UPL Data'!B:B,0))),0)</f>
        <v>5722034.84730158</v>
      </c>
      <c r="M261" s="45">
        <f>IFERROR((IF(F261="IMD",0,INDEX('2023 OP UPL Data'!M:M,MATCH(A:A,'2023 OP UPL Data'!B:B,0)))),0)</f>
        <v>15741769.701111112</v>
      </c>
      <c r="N261" s="45">
        <f t="shared" si="84"/>
        <v>21463804.548412692</v>
      </c>
      <c r="O261" s="45">
        <v>59367616.873857811</v>
      </c>
      <c r="P261" s="45">
        <v>47095682.278802454</v>
      </c>
      <c r="Q261" s="45">
        <f t="shared" si="85"/>
        <v>106463299.15266027</v>
      </c>
      <c r="R261" s="45" t="str">
        <f t="shared" si="86"/>
        <v>Yes</v>
      </c>
      <c r="S261" s="46" t="str">
        <f t="shared" si="86"/>
        <v>Yes</v>
      </c>
      <c r="T261" s="47">
        <f>ROUND(INDEX(Summary!H:H,MATCH(H:H,Summary!A:A,0)),2)</f>
        <v>0.09</v>
      </c>
      <c r="U261" s="47">
        <f>ROUND(INDEX(Summary!I:I,MATCH(H:H,Summary!A:A,0)),2)</f>
        <v>0.61</v>
      </c>
      <c r="V261" s="85">
        <f t="shared" si="87"/>
        <v>5923363.8213798245</v>
      </c>
      <c r="W261" s="85">
        <f t="shared" si="87"/>
        <v>15869178.611180903</v>
      </c>
      <c r="X261" s="45">
        <f t="shared" si="88"/>
        <v>21792542.432560727</v>
      </c>
      <c r="Y261" s="45" t="s">
        <v>3223</v>
      </c>
      <c r="Z261" s="45" t="str">
        <f t="shared" si="89"/>
        <v>Yes</v>
      </c>
      <c r="AA261" s="45" t="str">
        <f t="shared" si="89"/>
        <v>Yes</v>
      </c>
      <c r="AB261" s="45" t="str">
        <f t="shared" si="90"/>
        <v>Yes</v>
      </c>
      <c r="AC261" s="86">
        <f t="shared" si="103"/>
        <v>0.56999999999999995</v>
      </c>
      <c r="AD261" s="86">
        <f t="shared" si="104"/>
        <v>0.84</v>
      </c>
      <c r="AE261" s="45">
        <f t="shared" si="105"/>
        <v>37514637.535405554</v>
      </c>
      <c r="AF261" s="45">
        <f t="shared" si="105"/>
        <v>21852639.399003211</v>
      </c>
      <c r="AG261" s="45">
        <f t="shared" si="91"/>
        <v>59367276.934408769</v>
      </c>
      <c r="AH261" s="47">
        <f>IF(Y261="No",0,IFERROR(ROUNDDOWN(INDEX('90% of ACR'!K:K,MATCH(H:H,'90% of ACR'!A:A,0))*IF(I261&gt;0,IF(O261&gt;0,$R$4*MAX(O261-V261,0),0),0)/I261,2),0))</f>
        <v>0.56000000000000005</v>
      </c>
      <c r="AI261" s="86">
        <f>IF(Y261="No",0,IFERROR(ROUNDDOWN(INDEX('90% of ACR'!R:R,MATCH(H:H,'90% of ACR'!A:A,0))*IF(J261&gt;0,IF(P261&gt;0,$R$4*MAX(P261-W261,0),0),0)/J261,2),0))</f>
        <v>0.83</v>
      </c>
      <c r="AJ261" s="45">
        <f t="shared" si="92"/>
        <v>36856485.999696687</v>
      </c>
      <c r="AK261" s="45">
        <f t="shared" si="92"/>
        <v>21592488.929967459</v>
      </c>
      <c r="AL261" s="47">
        <f t="shared" si="93"/>
        <v>0.65</v>
      </c>
      <c r="AM261" s="47">
        <f t="shared" si="93"/>
        <v>1.44</v>
      </c>
      <c r="AN261" s="87">
        <f>IFERROR(INDEX(FeeCalc!P:P,MATCH(C261,FeeCalc!F:F,0)),0)</f>
        <v>80241517.362224877</v>
      </c>
      <c r="AO261" s="87">
        <f>IFERROR(INDEX(FeeCalc!S:S,MATCH(C261,FeeCalc!F:F,0)),0)</f>
        <v>4895938.0469642859</v>
      </c>
      <c r="AP261" s="87">
        <f t="shared" si="94"/>
        <v>85137455.409189165</v>
      </c>
      <c r="AQ261" s="72">
        <f t="shared" si="95"/>
        <v>36126546.728692062</v>
      </c>
      <c r="AR261" s="72">
        <f t="shared" si="96"/>
        <v>18063273.364346031</v>
      </c>
      <c r="AS261" s="72">
        <f t="shared" si="97"/>
        <v>18063273.364346031</v>
      </c>
      <c r="AT261" s="72">
        <f>IFERROR(IFERROR(INDEX('2023 IP UPL Data'!L:L,MATCH(A:A,'2023 IP UPL Data'!B:B,0)),INDEX('2023 IMD UPL Data'!I:I,MATCH(A:A,'2023 IMD UPL Data'!B:B,0))),0)</f>
        <v>52745059.912698418</v>
      </c>
      <c r="AU261" s="72">
        <f>IFERROR(IF(F259="IMD",0,INDEX('2023 OP UPL Data'!J:J,MATCH(A:A,'2023 OP UPL Data'!B:B,0))),0)</f>
        <v>10188110.888888888</v>
      </c>
      <c r="AV261" s="45">
        <f t="shared" si="98"/>
        <v>62933170.801587306</v>
      </c>
      <c r="AW261" s="72">
        <f>IFERROR(IFERROR(INDEX('2023 IP UPL Data'!M:M,MATCH(A:A,'2023 IP UPL Data'!B:B,0)),INDEX('2023 IMD UPL Data'!K:K,MATCH(A:A,'2023 IMD UPL Data'!B:B,0))),0)</f>
        <v>58467094.759999998</v>
      </c>
      <c r="AX261" s="72">
        <f>IFERROR(IF(F259="IMD",0,INDEX('2023 OP UPL Data'!L:L,MATCH(A:A,'2023 OP UPL Data'!B:B,0))),0)</f>
        <v>25929880.59</v>
      </c>
      <c r="AY261" s="45">
        <f t="shared" si="99"/>
        <v>84396975.349999994</v>
      </c>
      <c r="AZ261" s="72">
        <v>112112676.78655623</v>
      </c>
      <c r="BA261" s="72">
        <v>57283793.167691343</v>
      </c>
      <c r="BB261" s="72">
        <f t="shared" si="100"/>
        <v>106189312.9651764</v>
      </c>
      <c r="BC261" s="72">
        <f t="shared" si="100"/>
        <v>41414614.556510441</v>
      </c>
      <c r="BD261" s="72">
        <f t="shared" si="101"/>
        <v>147603927.52168685</v>
      </c>
      <c r="BE261" s="94">
        <f t="shared" si="102"/>
        <v>53645582.026556231</v>
      </c>
      <c r="BF261" s="94">
        <f t="shared" si="102"/>
        <v>31353912.577691343</v>
      </c>
      <c r="BG261" s="73">
        <f>IFERROR(INDEX('2023 IP UPL Data'!K:K,MATCH(A261,'2023 IP UPL Data'!B:B,0)),0)</f>
        <v>0</v>
      </c>
    </row>
    <row r="262" spans="1:59">
      <c r="A262" s="124" t="s">
        <v>596</v>
      </c>
      <c r="B262" s="149" t="s">
        <v>596</v>
      </c>
      <c r="C262" s="31" t="s">
        <v>597</v>
      </c>
      <c r="D262" s="181" t="s">
        <v>597</v>
      </c>
      <c r="E262" s="144" t="s">
        <v>598</v>
      </c>
      <c r="F262" s="120" t="s">
        <v>2768</v>
      </c>
      <c r="G262" s="120" t="s">
        <v>310</v>
      </c>
      <c r="H262" s="43" t="str">
        <f t="shared" ref="H262:H325" si="106">CONCATENATE(F262," ",G262)</f>
        <v>Rural MRSA Northeast</v>
      </c>
      <c r="I262" s="45">
        <f>INDEX(FeeCalc!M:M,MATCH(C:C,FeeCalc!F:F,0))</f>
        <v>3837629.4459373951</v>
      </c>
      <c r="J262" s="45">
        <f>INDEX(FeeCalc!L:L,MATCH(C:C,FeeCalc!F:F,0))</f>
        <v>3885064.9716845239</v>
      </c>
      <c r="K262" s="45">
        <f t="shared" ref="K262:K325" si="107">I262+J262</f>
        <v>7722694.417621919</v>
      </c>
      <c r="L262" s="45">
        <f>IFERROR(IFERROR(INDEX('2023 IP UPL Data'!N:N,MATCH(A:A,'2023 IP UPL Data'!B:B,0)),INDEX('2023 IMD UPL Data'!M:M,MATCH(A:A,'2023 IMD UPL Data'!B:B,0))),0)</f>
        <v>-1532890.394478824</v>
      </c>
      <c r="M262" s="45">
        <f>IFERROR((IF(F262="IMD",0,INDEX('2023 OP UPL Data'!M:M,MATCH(A:A,'2023 OP UPL Data'!B:B,0)))),0)</f>
        <v>1448971.3523899373</v>
      </c>
      <c r="N262" s="45">
        <f t="shared" ref="N262:N325" si="108">+L262+M262</f>
        <v>-83919.042088886723</v>
      </c>
      <c r="O262" s="45">
        <v>88422.338559907395</v>
      </c>
      <c r="P262" s="45">
        <v>3571631.9313757187</v>
      </c>
      <c r="Q262" s="45">
        <f t="shared" ref="Q262:Q325" si="109">O262+P262</f>
        <v>3660054.2699356261</v>
      </c>
      <c r="R262" s="45" t="str">
        <f t="shared" ref="R262:S325" si="110">IF(O262&gt;0,"Yes","No")</f>
        <v>Yes</v>
      </c>
      <c r="S262" s="46" t="str">
        <f t="shared" si="110"/>
        <v>Yes</v>
      </c>
      <c r="T262" s="47">
        <f>ROUND(INDEX(Summary!H:H,MATCH(H:H,Summary!A:A,0)),2)</f>
        <v>0.16</v>
      </c>
      <c r="U262" s="47">
        <f>ROUND(INDEX(Summary!I:I,MATCH(H:H,Summary!A:A,0)),2)</f>
        <v>0.42</v>
      </c>
      <c r="V262" s="85">
        <f t="shared" ref="V262:W325" si="111">+T262*I262</f>
        <v>614020.71134998323</v>
      </c>
      <c r="W262" s="85">
        <f t="shared" si="111"/>
        <v>1631727.2881074999</v>
      </c>
      <c r="X262" s="45">
        <f t="shared" ref="X262:X325" si="112">+V262+W262</f>
        <v>2245747.9994574832</v>
      </c>
      <c r="Y262" s="45" t="s">
        <v>3223</v>
      </c>
      <c r="Z262" s="45" t="str">
        <f t="shared" ref="Z262:AA325" si="113">IF(AJ262&gt;0,"Yes","No")</f>
        <v>No</v>
      </c>
      <c r="AA262" s="45" t="str">
        <f t="shared" si="113"/>
        <v>Yes</v>
      </c>
      <c r="AB262" s="45" t="str">
        <f t="shared" ref="AB262:AB325" si="114">IF(AG262&gt;0,"Yes","No")</f>
        <v>Yes</v>
      </c>
      <c r="AC262" s="86">
        <f t="shared" si="103"/>
        <v>0</v>
      </c>
      <c r="AD262" s="86">
        <f t="shared" si="104"/>
        <v>0.35</v>
      </c>
      <c r="AE262" s="45">
        <f t="shared" si="105"/>
        <v>0</v>
      </c>
      <c r="AF262" s="45">
        <f t="shared" si="105"/>
        <v>1359772.7400895832</v>
      </c>
      <c r="AG262" s="45">
        <f t="shared" ref="AG262:AG325" si="115">AE262+AF262</f>
        <v>1359772.7400895832</v>
      </c>
      <c r="AH262" s="47">
        <f>IF(Y262="No",0,IFERROR(ROUNDDOWN(INDEX('90% of ACR'!K:K,MATCH(H:H,'90% of ACR'!A:A,0))*IF(I262&gt;0,IF(O262&gt;0,$R$4*MAX(O262-V262,0),0),0)/I262,2),0))</f>
        <v>0</v>
      </c>
      <c r="AI262" s="86">
        <f>IF(Y262="No",0,IFERROR(ROUNDDOWN(INDEX('90% of ACR'!R:R,MATCH(H:H,'90% of ACR'!A:A,0))*IF(J262&gt;0,IF(P262&gt;0,$R$4*MAX(P262-W262,0),0),0)/J262,2),0))</f>
        <v>0.34</v>
      </c>
      <c r="AJ262" s="45">
        <f t="shared" ref="AJ262:AK325" si="116">I262*AH262</f>
        <v>0</v>
      </c>
      <c r="AK262" s="45">
        <f t="shared" si="116"/>
        <v>1320922.0903727382</v>
      </c>
      <c r="AL262" s="47">
        <f t="shared" ref="AL262:AM325" si="117">T262+AH262</f>
        <v>0.16</v>
      </c>
      <c r="AM262" s="47">
        <f t="shared" si="117"/>
        <v>0.76</v>
      </c>
      <c r="AN262" s="87">
        <f>IFERROR(INDEX(FeeCalc!P:P,MATCH(C262,FeeCalc!F:F,0)),0)</f>
        <v>3566670.0898302216</v>
      </c>
      <c r="AO262" s="87">
        <f>IFERROR(INDEX(FeeCalc!S:S,MATCH(C262,FeeCalc!F:F,0)),0)</f>
        <v>221332.78350204229</v>
      </c>
      <c r="AP262" s="87">
        <f t="shared" ref="AP262:AP325" si="118">AN262+AO262</f>
        <v>3788002.8733322639</v>
      </c>
      <c r="AQ262" s="72">
        <f t="shared" ref="AQ262:AQ325" si="119">$AQ$3*AP262*1.08</f>
        <v>1607370.8352468265</v>
      </c>
      <c r="AR262" s="72">
        <f t="shared" ref="AR262:AR325" si="120">AQ262*0.5</f>
        <v>803685.41762341326</v>
      </c>
      <c r="AS262" s="72">
        <f t="shared" ref="AS262:AS325" si="121">AR262</f>
        <v>803685.41762341326</v>
      </c>
      <c r="AT262" s="72">
        <f>IFERROR(IFERROR(INDEX('2023 IP UPL Data'!L:L,MATCH(A:A,'2023 IP UPL Data'!B:B,0)),INDEX('2023 IMD UPL Data'!I:I,MATCH(A:A,'2023 IMD UPL Data'!B:B,0))),0)</f>
        <v>4010198.104478824</v>
      </c>
      <c r="AU262" s="72">
        <f>IFERROR(IF(F260="IMD",0,INDEX('2023 OP UPL Data'!J:J,MATCH(A:A,'2023 OP UPL Data'!B:B,0))),0)</f>
        <v>1367192.0576100629</v>
      </c>
      <c r="AV262" s="45">
        <f t="shared" ref="AV262:AV325" si="122">AT262+AU262</f>
        <v>5377390.1620888868</v>
      </c>
      <c r="AW262" s="72">
        <f>IFERROR(IFERROR(INDEX('2023 IP UPL Data'!M:M,MATCH(A:A,'2023 IP UPL Data'!B:B,0)),INDEX('2023 IMD UPL Data'!K:K,MATCH(A:A,'2023 IMD UPL Data'!B:B,0))),0)</f>
        <v>2477307.71</v>
      </c>
      <c r="AX262" s="72">
        <f>IFERROR(IF(F260="IMD",0,INDEX('2023 OP UPL Data'!L:L,MATCH(A:A,'2023 OP UPL Data'!B:B,0))),0)</f>
        <v>2816163.41</v>
      </c>
      <c r="AY262" s="45">
        <f t="shared" ref="AY262:AY325" si="123">AW262+AX262</f>
        <v>5293471.12</v>
      </c>
      <c r="AZ262" s="72">
        <v>4098620.4430387313</v>
      </c>
      <c r="BA262" s="72">
        <v>4938823.9889857816</v>
      </c>
      <c r="BB262" s="72">
        <f t="shared" ref="BB262:BC325" si="124">IF(AZ262&gt;V262,AZ262-V262,0)</f>
        <v>3484599.7316887481</v>
      </c>
      <c r="BC262" s="72">
        <f t="shared" si="124"/>
        <v>3307096.7008782816</v>
      </c>
      <c r="BD262" s="72">
        <f t="shared" ref="BD262:BD325" si="125">IF(AZ262+BA262&gt;X262,AZ262+BA262-X262,0)</f>
        <v>6791696.4325670293</v>
      </c>
      <c r="BE262" s="94">
        <f t="shared" ref="BE262:BF325" si="126">IF(AZ262&gt;AW262,AZ262-AW262,0)</f>
        <v>1621312.7330387314</v>
      </c>
      <c r="BF262" s="94">
        <f t="shared" si="126"/>
        <v>2122660.5789857814</v>
      </c>
      <c r="BG262" s="73">
        <f>IFERROR(INDEX('2023 IP UPL Data'!K:K,MATCH(A262,'2023 IP UPL Data'!B:B,0)),0)</f>
        <v>0</v>
      </c>
    </row>
    <row r="263" spans="1:59">
      <c r="A263" s="124" t="s">
        <v>813</v>
      </c>
      <c r="B263" s="149" t="s">
        <v>813</v>
      </c>
      <c r="C263" s="31" t="s">
        <v>814</v>
      </c>
      <c r="D263" s="181" t="s">
        <v>814</v>
      </c>
      <c r="E263" s="144" t="s">
        <v>2867</v>
      </c>
      <c r="F263" s="120" t="s">
        <v>2768</v>
      </c>
      <c r="G263" s="120" t="s">
        <v>1530</v>
      </c>
      <c r="H263" s="43" t="str">
        <f t="shared" si="106"/>
        <v>Rural Lubbock</v>
      </c>
      <c r="I263" s="45">
        <f>INDEX(FeeCalc!M:M,MATCH(C:C,FeeCalc!F:F,0))</f>
        <v>8377.6130640226711</v>
      </c>
      <c r="J263" s="45">
        <f>INDEX(FeeCalc!L:L,MATCH(C:C,FeeCalc!F:F,0))</f>
        <v>321602.17252510355</v>
      </c>
      <c r="K263" s="45">
        <f t="shared" si="107"/>
        <v>329979.78558912623</v>
      </c>
      <c r="L263" s="45">
        <f>IFERROR(IFERROR(INDEX('2023 IP UPL Data'!N:N,MATCH(A:A,'2023 IP UPL Data'!B:B,0)),INDEX('2023 IMD UPL Data'!M:M,MATCH(A:A,'2023 IMD UPL Data'!B:B,0))),0)</f>
        <v>0</v>
      </c>
      <c r="M263" s="45">
        <f>IFERROR((IF(F263="IMD",0,INDEX('2023 OP UPL Data'!M:M,MATCH(A:A,'2023 OP UPL Data'!B:B,0)))),0)</f>
        <v>83579.199452123576</v>
      </c>
      <c r="N263" s="45">
        <f t="shared" si="108"/>
        <v>83579.199452123576</v>
      </c>
      <c r="O263" s="45">
        <v>0</v>
      </c>
      <c r="P263" s="45">
        <v>8302.1488542221196</v>
      </c>
      <c r="Q263" s="45">
        <f t="shared" si="109"/>
        <v>8302.1488542221196</v>
      </c>
      <c r="R263" s="45" t="str">
        <f t="shared" si="110"/>
        <v>No</v>
      </c>
      <c r="S263" s="46" t="str">
        <f t="shared" si="110"/>
        <v>Yes</v>
      </c>
      <c r="T263" s="47">
        <f>ROUND(INDEX(Summary!H:H,MATCH(H:H,Summary!A:A,0)),2)</f>
        <v>0.32</v>
      </c>
      <c r="U263" s="47">
        <f>ROUND(INDEX(Summary!I:I,MATCH(H:H,Summary!A:A,0)),2)</f>
        <v>0.36</v>
      </c>
      <c r="V263" s="85">
        <f t="shared" si="111"/>
        <v>2680.8361804872548</v>
      </c>
      <c r="W263" s="85">
        <f t="shared" si="111"/>
        <v>115776.78210903727</v>
      </c>
      <c r="X263" s="45">
        <f t="shared" si="112"/>
        <v>118457.61828952453</v>
      </c>
      <c r="Y263" s="45" t="s">
        <v>3223</v>
      </c>
      <c r="Z263" s="45" t="str">
        <f t="shared" si="113"/>
        <v>No</v>
      </c>
      <c r="AA263" s="45" t="str">
        <f t="shared" si="113"/>
        <v>No</v>
      </c>
      <c r="AB263" s="45" t="str">
        <f t="shared" si="114"/>
        <v>No</v>
      </c>
      <c r="AC263" s="86">
        <f t="shared" ref="AC263:AC326" si="127">IF(Y263="No",0,IFERROR(ROUND(IF(I263&gt;0,IF(O263&gt;0,$R$4*MAX(O263-V263,0),0),0)/I263,2),0))</f>
        <v>0</v>
      </c>
      <c r="AD263" s="86">
        <f t="shared" ref="AD263:AD326" si="128">IF(Y263="No",0,IFERROR(ROUND(IF(J263&gt;0,IF(P263&gt;0,$R$4*MAX(P263-W263,0),0),0)/J263,2),0))</f>
        <v>0</v>
      </c>
      <c r="AE263" s="45">
        <f t="shared" ref="AE263:AF326" si="129">AC263*I263</f>
        <v>0</v>
      </c>
      <c r="AF263" s="45">
        <f t="shared" si="129"/>
        <v>0</v>
      </c>
      <c r="AG263" s="45">
        <f t="shared" si="115"/>
        <v>0</v>
      </c>
      <c r="AH263" s="47">
        <f>IF(Y263="No",0,IFERROR(ROUNDDOWN(INDEX('90% of ACR'!K:K,MATCH(H:H,'90% of ACR'!A:A,0))*IF(I263&gt;0,IF(O263&gt;0,$R$4*MAX(O263-V263,0),0),0)/I263,2),0))</f>
        <v>0</v>
      </c>
      <c r="AI263" s="86">
        <f>IF(Y263="No",0,IFERROR(ROUNDDOWN(INDEX('90% of ACR'!R:R,MATCH(H:H,'90% of ACR'!A:A,0))*IF(J263&gt;0,IF(P263&gt;0,$R$4*MAX(P263-W263,0),0),0)/J263,2),0))</f>
        <v>0</v>
      </c>
      <c r="AJ263" s="45">
        <f t="shared" si="116"/>
        <v>0</v>
      </c>
      <c r="AK263" s="45">
        <f t="shared" si="116"/>
        <v>0</v>
      </c>
      <c r="AL263" s="47">
        <f t="shared" si="117"/>
        <v>0.32</v>
      </c>
      <c r="AM263" s="47">
        <f t="shared" si="117"/>
        <v>0.36</v>
      </c>
      <c r="AN263" s="87">
        <f>IFERROR(INDEX(FeeCalc!P:P,MATCH(C263,FeeCalc!F:F,0)),0)</f>
        <v>118457.61828952453</v>
      </c>
      <c r="AO263" s="87">
        <f>IFERROR(INDEX(FeeCalc!S:S,MATCH(C263,FeeCalc!F:F,0)),0)</f>
        <v>7320.9661100731073</v>
      </c>
      <c r="AP263" s="87">
        <f t="shared" si="118"/>
        <v>125778.58439959763</v>
      </c>
      <c r="AQ263" s="72">
        <f t="shared" si="119"/>
        <v>53371.878275450072</v>
      </c>
      <c r="AR263" s="72">
        <f t="shared" si="120"/>
        <v>26685.939137725036</v>
      </c>
      <c r="AS263" s="72">
        <f t="shared" si="121"/>
        <v>26685.939137725036</v>
      </c>
      <c r="AT263" s="72">
        <f>IFERROR(IFERROR(INDEX('2023 IP UPL Data'!L:L,MATCH(A:A,'2023 IP UPL Data'!B:B,0)),INDEX('2023 IMD UPL Data'!I:I,MATCH(A:A,'2023 IMD UPL Data'!B:B,0))),0)</f>
        <v>0</v>
      </c>
      <c r="AU263" s="72">
        <f>IFERROR(IF(F261="IMD",0,INDEX('2023 OP UPL Data'!J:J,MATCH(A:A,'2023 OP UPL Data'!B:B,0))),0)</f>
        <v>150133.03054787643</v>
      </c>
      <c r="AV263" s="45">
        <f t="shared" si="122"/>
        <v>150133.03054787643</v>
      </c>
      <c r="AW263" s="72">
        <f>IFERROR(IFERROR(INDEX('2023 IP UPL Data'!M:M,MATCH(A:A,'2023 IP UPL Data'!B:B,0)),INDEX('2023 IMD UPL Data'!K:K,MATCH(A:A,'2023 IMD UPL Data'!B:B,0))),0)</f>
        <v>0</v>
      </c>
      <c r="AX263" s="72">
        <f>IFERROR(IF(F261="IMD",0,INDEX('2023 OP UPL Data'!L:L,MATCH(A:A,'2023 OP UPL Data'!B:B,0))),0)</f>
        <v>233712.23</v>
      </c>
      <c r="AY263" s="45">
        <f t="shared" si="123"/>
        <v>233712.23</v>
      </c>
      <c r="AZ263" s="72">
        <v>0</v>
      </c>
      <c r="BA263" s="72">
        <v>158435.17940209855</v>
      </c>
      <c r="BB263" s="72">
        <f t="shared" si="124"/>
        <v>0</v>
      </c>
      <c r="BC263" s="72">
        <f t="shared" si="124"/>
        <v>42658.39729306128</v>
      </c>
      <c r="BD263" s="72">
        <f t="shared" si="125"/>
        <v>39977.561112574025</v>
      </c>
      <c r="BE263" s="94">
        <f t="shared" si="126"/>
        <v>0</v>
      </c>
      <c r="BF263" s="94">
        <f t="shared" si="126"/>
        <v>0</v>
      </c>
      <c r="BG263" s="73">
        <f>IFERROR(INDEX('2023 IP UPL Data'!K:K,MATCH(A263,'2023 IP UPL Data'!B:B,0)),0)</f>
        <v>0</v>
      </c>
    </row>
    <row r="264" spans="1:59">
      <c r="A264" s="124" t="s">
        <v>288</v>
      </c>
      <c r="B264" s="149" t="s">
        <v>288</v>
      </c>
      <c r="C264" s="31" t="s">
        <v>289</v>
      </c>
      <c r="D264" s="181" t="s">
        <v>289</v>
      </c>
      <c r="E264" s="144" t="s">
        <v>290</v>
      </c>
      <c r="F264" s="120" t="s">
        <v>2768</v>
      </c>
      <c r="G264" s="120" t="s">
        <v>310</v>
      </c>
      <c r="H264" s="43" t="str">
        <f t="shared" si="106"/>
        <v>Rural MRSA Northeast</v>
      </c>
      <c r="I264" s="45">
        <f>INDEX(FeeCalc!M:M,MATCH(C:C,FeeCalc!F:F,0))</f>
        <v>787280.29953607521</v>
      </c>
      <c r="J264" s="45">
        <f>INDEX(FeeCalc!L:L,MATCH(C:C,FeeCalc!F:F,0))</f>
        <v>2503751.0533811268</v>
      </c>
      <c r="K264" s="45">
        <f t="shared" si="107"/>
        <v>3291031.3529172018</v>
      </c>
      <c r="L264" s="45">
        <f>IFERROR(IFERROR(INDEX('2023 IP UPL Data'!N:N,MATCH(A:A,'2023 IP UPL Data'!B:B,0)),INDEX('2023 IMD UPL Data'!M:M,MATCH(A:A,'2023 IMD UPL Data'!B:B,0))),0)</f>
        <v>186.38106674075243</v>
      </c>
      <c r="M264" s="45">
        <f>IFERROR((IF(F264="IMD",0,INDEX('2023 OP UPL Data'!M:M,MATCH(A:A,'2023 OP UPL Data'!B:B,0)))),0)</f>
        <v>-595997.74968553463</v>
      </c>
      <c r="N264" s="45">
        <f t="shared" si="108"/>
        <v>-595811.3686187939</v>
      </c>
      <c r="O264" s="45">
        <v>7100.9755624179379</v>
      </c>
      <c r="P264" s="45">
        <v>1223385.5894004735</v>
      </c>
      <c r="Q264" s="45">
        <f t="shared" si="109"/>
        <v>1230486.5649628914</v>
      </c>
      <c r="R264" s="45" t="str">
        <f t="shared" si="110"/>
        <v>Yes</v>
      </c>
      <c r="S264" s="46" t="str">
        <f t="shared" si="110"/>
        <v>Yes</v>
      </c>
      <c r="T264" s="47">
        <f>ROUND(INDEX(Summary!H:H,MATCH(H:H,Summary!A:A,0)),2)</f>
        <v>0.16</v>
      </c>
      <c r="U264" s="47">
        <f>ROUND(INDEX(Summary!I:I,MATCH(H:H,Summary!A:A,0)),2)</f>
        <v>0.42</v>
      </c>
      <c r="V264" s="85">
        <f t="shared" si="111"/>
        <v>125964.84792577203</v>
      </c>
      <c r="W264" s="85">
        <f t="shared" si="111"/>
        <v>1051575.4424200733</v>
      </c>
      <c r="X264" s="45">
        <f t="shared" si="112"/>
        <v>1177540.2903458453</v>
      </c>
      <c r="Y264" s="45" t="s">
        <v>3223</v>
      </c>
      <c r="Z264" s="45" t="str">
        <f t="shared" si="113"/>
        <v>No</v>
      </c>
      <c r="AA264" s="45" t="str">
        <f t="shared" si="113"/>
        <v>Yes</v>
      </c>
      <c r="AB264" s="45" t="str">
        <f t="shared" si="114"/>
        <v>Yes</v>
      </c>
      <c r="AC264" s="86">
        <f t="shared" si="127"/>
        <v>0</v>
      </c>
      <c r="AD264" s="86">
        <f t="shared" si="128"/>
        <v>0.05</v>
      </c>
      <c r="AE264" s="45">
        <f t="shared" si="129"/>
        <v>0</v>
      </c>
      <c r="AF264" s="45">
        <f t="shared" si="129"/>
        <v>125187.55266905634</v>
      </c>
      <c r="AG264" s="45">
        <f t="shared" si="115"/>
        <v>125187.55266905634</v>
      </c>
      <c r="AH264" s="47">
        <f>IF(Y264="No",0,IFERROR(ROUNDDOWN(INDEX('90% of ACR'!K:K,MATCH(H:H,'90% of ACR'!A:A,0))*IF(I264&gt;0,IF(O264&gt;0,$R$4*MAX(O264-V264,0),0),0)/I264,2),0))</f>
        <v>0</v>
      </c>
      <c r="AI264" s="86">
        <f>IF(Y264="No",0,IFERROR(ROUNDDOWN(INDEX('90% of ACR'!R:R,MATCH(H:H,'90% of ACR'!A:A,0))*IF(J264&gt;0,IF(P264&gt;0,$R$4*MAX(P264-W264,0),0),0)/J264,2),0))</f>
        <v>0.04</v>
      </c>
      <c r="AJ264" s="45">
        <f t="shared" si="116"/>
        <v>0</v>
      </c>
      <c r="AK264" s="45">
        <f t="shared" si="116"/>
        <v>100150.04213524508</v>
      </c>
      <c r="AL264" s="47">
        <f t="shared" si="117"/>
        <v>0.16</v>
      </c>
      <c r="AM264" s="47">
        <f t="shared" si="117"/>
        <v>0.45999999999999996</v>
      </c>
      <c r="AN264" s="87">
        <f>IFERROR(INDEX(FeeCalc!P:P,MATCH(C264,FeeCalc!F:F,0)),0)</f>
        <v>1277690.3324810902</v>
      </c>
      <c r="AO264" s="87">
        <f>IFERROR(INDEX(FeeCalc!S:S,MATCH(C264,FeeCalc!F:F,0)),0)</f>
        <v>79173.349851235922</v>
      </c>
      <c r="AP264" s="87">
        <f t="shared" si="118"/>
        <v>1356863.6823323262</v>
      </c>
      <c r="AQ264" s="72">
        <f t="shared" si="119"/>
        <v>575760.68005144072</v>
      </c>
      <c r="AR264" s="72">
        <f t="shared" si="120"/>
        <v>287880.34002572036</v>
      </c>
      <c r="AS264" s="72">
        <f t="shared" si="121"/>
        <v>287880.34002572036</v>
      </c>
      <c r="AT264" s="72">
        <f>IFERROR(IFERROR(INDEX('2023 IP UPL Data'!L:L,MATCH(A:A,'2023 IP UPL Data'!B:B,0)),INDEX('2023 IMD UPL Data'!I:I,MATCH(A:A,'2023 IMD UPL Data'!B:B,0))),0)</f>
        <v>100436.49893325925</v>
      </c>
      <c r="AU264" s="72">
        <f>IFERROR(IF(F262="IMD",0,INDEX('2023 OP UPL Data'!J:J,MATCH(A:A,'2023 OP UPL Data'!B:B,0))),0)</f>
        <v>595997.74968553463</v>
      </c>
      <c r="AV264" s="45">
        <f t="shared" si="122"/>
        <v>696434.24861879391</v>
      </c>
      <c r="AW264" s="72">
        <f>IFERROR(IFERROR(INDEX('2023 IP UPL Data'!M:M,MATCH(A:A,'2023 IP UPL Data'!B:B,0)),INDEX('2023 IMD UPL Data'!K:K,MATCH(A:A,'2023 IMD UPL Data'!B:B,0))),0)</f>
        <v>100622.88</v>
      </c>
      <c r="AX264" s="72">
        <f>IFERROR(IF(F262="IMD",0,INDEX('2023 OP UPL Data'!L:L,MATCH(A:A,'2023 OP UPL Data'!B:B,0))),0)</f>
        <v>0</v>
      </c>
      <c r="AY264" s="45">
        <f t="shared" si="123"/>
        <v>100622.88</v>
      </c>
      <c r="AZ264" s="72">
        <v>107537.47449567719</v>
      </c>
      <c r="BA264" s="72">
        <v>1819383.3390860083</v>
      </c>
      <c r="BB264" s="72">
        <f t="shared" si="124"/>
        <v>0</v>
      </c>
      <c r="BC264" s="72">
        <f t="shared" si="124"/>
        <v>767807.89666593494</v>
      </c>
      <c r="BD264" s="72">
        <f t="shared" si="125"/>
        <v>749380.52323584026</v>
      </c>
      <c r="BE264" s="94">
        <f t="shared" si="126"/>
        <v>6914.5944956771855</v>
      </c>
      <c r="BF264" s="94">
        <f t="shared" si="126"/>
        <v>1819383.3390860083</v>
      </c>
      <c r="BG264" s="73">
        <f>IFERROR(INDEX('2023 IP UPL Data'!K:K,MATCH(A264,'2023 IP UPL Data'!B:B,0)),0)</f>
        <v>0</v>
      </c>
    </row>
    <row r="265" spans="1:59">
      <c r="A265" s="124" t="s">
        <v>901</v>
      </c>
      <c r="B265" s="149" t="s">
        <v>901</v>
      </c>
      <c r="C265" s="31" t="s">
        <v>902</v>
      </c>
      <c r="D265" s="181" t="s">
        <v>902</v>
      </c>
      <c r="E265" s="144" t="s">
        <v>903</v>
      </c>
      <c r="F265" s="120" t="s">
        <v>2768</v>
      </c>
      <c r="G265" s="120" t="s">
        <v>310</v>
      </c>
      <c r="H265" s="43" t="str">
        <f t="shared" si="106"/>
        <v>Rural MRSA Northeast</v>
      </c>
      <c r="I265" s="45">
        <f>INDEX(FeeCalc!M:M,MATCH(C:C,FeeCalc!F:F,0))</f>
        <v>34622.754574648934</v>
      </c>
      <c r="J265" s="45">
        <f>INDEX(FeeCalc!L:L,MATCH(C:C,FeeCalc!F:F,0))</f>
        <v>651366.88348392246</v>
      </c>
      <c r="K265" s="45">
        <f t="shared" si="107"/>
        <v>685989.63805857138</v>
      </c>
      <c r="L265" s="45">
        <f>IFERROR(IFERROR(INDEX('2023 IP UPL Data'!N:N,MATCH(A:A,'2023 IP UPL Data'!B:B,0)),INDEX('2023 IMD UPL Data'!M:M,MATCH(A:A,'2023 IMD UPL Data'!B:B,0))),0)</f>
        <v>-6376.3573434434311</v>
      </c>
      <c r="M265" s="45">
        <f>IFERROR((IF(F265="IMD",0,INDEX('2023 OP UPL Data'!M:M,MATCH(A:A,'2023 OP UPL Data'!B:B,0)))),0)</f>
        <v>-186533.55616352207</v>
      </c>
      <c r="N265" s="45">
        <f t="shared" si="108"/>
        <v>-192909.9135069655</v>
      </c>
      <c r="O265" s="45">
        <v>-4412.7068529626731</v>
      </c>
      <c r="P265" s="45">
        <v>460974.87788273674</v>
      </c>
      <c r="Q265" s="45">
        <f t="shared" si="109"/>
        <v>456562.17102977406</v>
      </c>
      <c r="R265" s="45" t="str">
        <f t="shared" si="110"/>
        <v>No</v>
      </c>
      <c r="S265" s="46" t="str">
        <f t="shared" si="110"/>
        <v>Yes</v>
      </c>
      <c r="T265" s="47">
        <f>ROUND(INDEX(Summary!H:H,MATCH(H:H,Summary!A:A,0)),2)</f>
        <v>0.16</v>
      </c>
      <c r="U265" s="47">
        <f>ROUND(INDEX(Summary!I:I,MATCH(H:H,Summary!A:A,0)),2)</f>
        <v>0.42</v>
      </c>
      <c r="V265" s="85">
        <f t="shared" si="111"/>
        <v>5539.6407319438295</v>
      </c>
      <c r="W265" s="85">
        <f t="shared" si="111"/>
        <v>273574.09106324741</v>
      </c>
      <c r="X265" s="45">
        <f t="shared" si="112"/>
        <v>279113.73179519124</v>
      </c>
      <c r="Y265" s="45" t="s">
        <v>3223</v>
      </c>
      <c r="Z265" s="45" t="str">
        <f t="shared" si="113"/>
        <v>No</v>
      </c>
      <c r="AA265" s="45" t="str">
        <f t="shared" si="113"/>
        <v>Yes</v>
      </c>
      <c r="AB265" s="45" t="str">
        <f t="shared" si="114"/>
        <v>Yes</v>
      </c>
      <c r="AC265" s="86">
        <f t="shared" si="127"/>
        <v>0</v>
      </c>
      <c r="AD265" s="86">
        <f t="shared" si="128"/>
        <v>0.2</v>
      </c>
      <c r="AE265" s="45">
        <f t="shared" si="129"/>
        <v>0</v>
      </c>
      <c r="AF265" s="45">
        <f t="shared" si="129"/>
        <v>130273.3766967845</v>
      </c>
      <c r="AG265" s="45">
        <f t="shared" si="115"/>
        <v>130273.3766967845</v>
      </c>
      <c r="AH265" s="47">
        <f>IF(Y265="No",0,IFERROR(ROUNDDOWN(INDEX('90% of ACR'!K:K,MATCH(H:H,'90% of ACR'!A:A,0))*IF(I265&gt;0,IF(O265&gt;0,$R$4*MAX(O265-V265,0),0),0)/I265,2),0))</f>
        <v>0</v>
      </c>
      <c r="AI265" s="86">
        <f>IF(Y265="No",0,IFERROR(ROUNDDOWN(INDEX('90% of ACR'!R:R,MATCH(H:H,'90% of ACR'!A:A,0))*IF(J265&gt;0,IF(P265&gt;0,$R$4*MAX(P265-W265,0),0),0)/J265,2),0))</f>
        <v>0.2</v>
      </c>
      <c r="AJ265" s="45">
        <f t="shared" si="116"/>
        <v>0</v>
      </c>
      <c r="AK265" s="45">
        <f t="shared" si="116"/>
        <v>130273.3766967845</v>
      </c>
      <c r="AL265" s="47">
        <f t="shared" si="117"/>
        <v>0.16</v>
      </c>
      <c r="AM265" s="47">
        <f t="shared" si="117"/>
        <v>0.62</v>
      </c>
      <c r="AN265" s="87">
        <f>IFERROR(INDEX(FeeCalc!P:P,MATCH(C265,FeeCalc!F:F,0)),0)</f>
        <v>409387.10849197576</v>
      </c>
      <c r="AO265" s="87">
        <f>IFERROR(INDEX(FeeCalc!S:S,MATCH(C265,FeeCalc!F:F,0)),0)</f>
        <v>25338.845828454374</v>
      </c>
      <c r="AP265" s="87">
        <f t="shared" si="118"/>
        <v>434725.95432043012</v>
      </c>
      <c r="AQ265" s="72">
        <f t="shared" si="119"/>
        <v>184468.13364869676</v>
      </c>
      <c r="AR265" s="72">
        <f t="shared" si="120"/>
        <v>92234.066824348381</v>
      </c>
      <c r="AS265" s="72">
        <f t="shared" si="121"/>
        <v>92234.066824348381</v>
      </c>
      <c r="AT265" s="72">
        <f>IFERROR(IFERROR(INDEX('2023 IP UPL Data'!L:L,MATCH(A:A,'2023 IP UPL Data'!B:B,0)),INDEX('2023 IMD UPL Data'!I:I,MATCH(A:A,'2023 IMD UPL Data'!B:B,0))),0)</f>
        <v>12584.957343443431</v>
      </c>
      <c r="AU265" s="72">
        <f>IFERROR(IF(F263="IMD",0,INDEX('2023 OP UPL Data'!J:J,MATCH(A:A,'2023 OP UPL Data'!B:B,0))),0)</f>
        <v>264801.54616352206</v>
      </c>
      <c r="AV265" s="45">
        <f t="shared" si="122"/>
        <v>277386.50350696547</v>
      </c>
      <c r="AW265" s="72">
        <f>IFERROR(IFERROR(INDEX('2023 IP UPL Data'!M:M,MATCH(A:A,'2023 IP UPL Data'!B:B,0)),INDEX('2023 IMD UPL Data'!K:K,MATCH(A:A,'2023 IMD UPL Data'!B:B,0))),0)</f>
        <v>6208.6</v>
      </c>
      <c r="AX265" s="72">
        <f>IFERROR(IF(F263="IMD",0,INDEX('2023 OP UPL Data'!L:L,MATCH(A:A,'2023 OP UPL Data'!B:B,0))),0)</f>
        <v>78267.990000000005</v>
      </c>
      <c r="AY265" s="45">
        <f t="shared" si="123"/>
        <v>84476.590000000011</v>
      </c>
      <c r="AZ265" s="72">
        <v>8172.2504904807583</v>
      </c>
      <c r="BA265" s="72">
        <v>725776.42404625879</v>
      </c>
      <c r="BB265" s="72">
        <f t="shared" si="124"/>
        <v>2632.6097585369289</v>
      </c>
      <c r="BC265" s="72">
        <f t="shared" si="124"/>
        <v>452202.33298301138</v>
      </c>
      <c r="BD265" s="72">
        <f t="shared" si="125"/>
        <v>454834.94274154835</v>
      </c>
      <c r="BE265" s="94">
        <f t="shared" si="126"/>
        <v>1963.650490480758</v>
      </c>
      <c r="BF265" s="94">
        <f t="shared" si="126"/>
        <v>647508.4340462588</v>
      </c>
      <c r="BG265" s="73">
        <f>IFERROR(INDEX('2023 IP UPL Data'!K:K,MATCH(A265,'2023 IP UPL Data'!B:B,0)),0)</f>
        <v>0</v>
      </c>
    </row>
    <row r="266" spans="1:59" ht="25.5">
      <c r="A266" s="124" t="s">
        <v>1346</v>
      </c>
      <c r="B266" s="149" t="s">
        <v>1346</v>
      </c>
      <c r="C266" s="31" t="s">
        <v>1347</v>
      </c>
      <c r="D266" s="181" t="s">
        <v>1347</v>
      </c>
      <c r="E266" s="144" t="s">
        <v>3341</v>
      </c>
      <c r="F266" s="120" t="s">
        <v>3069</v>
      </c>
      <c r="G266" s="120" t="s">
        <v>1366</v>
      </c>
      <c r="H266" s="43" t="str">
        <f t="shared" si="106"/>
        <v>Non-state-owned IMD Tarrant</v>
      </c>
      <c r="I266" s="45">
        <f>INDEX(FeeCalc!M:M,MATCH(C:C,FeeCalc!F:F,0))</f>
        <v>1192948.4348202052</v>
      </c>
      <c r="J266" s="45">
        <f>INDEX(FeeCalc!L:L,MATCH(C:C,FeeCalc!F:F,0))</f>
        <v>0</v>
      </c>
      <c r="K266" s="45">
        <f t="shared" si="107"/>
        <v>1192948.4348202052</v>
      </c>
      <c r="L266" s="45">
        <f>IFERROR(IFERROR(INDEX('2023 IP UPL Data'!N:N,MATCH(A:A,'2023 IP UPL Data'!B:B,0)),INDEX('2023 IMD UPL Data'!M:M,MATCH(A:A,'2023 IMD UPL Data'!B:B,0))),0)</f>
        <v>413721.92</v>
      </c>
      <c r="M266" s="45">
        <f>IFERROR((IF(F266="IMD",0,INDEX('2023 OP UPL Data'!M:M,MATCH(A:A,'2023 OP UPL Data'!B:B,0)))),0)</f>
        <v>0</v>
      </c>
      <c r="N266" s="45">
        <f t="shared" si="108"/>
        <v>413721.92</v>
      </c>
      <c r="O266" s="45">
        <v>440155.84626540105</v>
      </c>
      <c r="P266" s="45">
        <v>0</v>
      </c>
      <c r="Q266" s="45">
        <f t="shared" si="109"/>
        <v>440155.84626540105</v>
      </c>
      <c r="R266" s="45" t="str">
        <f t="shared" si="110"/>
        <v>Yes</v>
      </c>
      <c r="S266" s="46" t="str">
        <f t="shared" si="110"/>
        <v>No</v>
      </c>
      <c r="T266" s="47">
        <f>ROUND(INDEX(Summary!H:H,MATCH(H:H,Summary!A:A,0)),2)</f>
        <v>0.37</v>
      </c>
      <c r="U266" s="47">
        <f>ROUND(INDEX(Summary!I:I,MATCH(H:H,Summary!A:A,0)),2)</f>
        <v>0</v>
      </c>
      <c r="V266" s="85">
        <f t="shared" si="111"/>
        <v>441390.92088347592</v>
      </c>
      <c r="W266" s="85">
        <f t="shared" si="111"/>
        <v>0</v>
      </c>
      <c r="X266" s="45">
        <f t="shared" si="112"/>
        <v>441390.92088347592</v>
      </c>
      <c r="Y266" s="45" t="s">
        <v>3223</v>
      </c>
      <c r="Z266" s="45" t="str">
        <f t="shared" si="113"/>
        <v>No</v>
      </c>
      <c r="AA266" s="45" t="str">
        <f t="shared" si="113"/>
        <v>No</v>
      </c>
      <c r="AB266" s="45" t="str">
        <f t="shared" si="114"/>
        <v>No</v>
      </c>
      <c r="AC266" s="86">
        <f t="shared" si="127"/>
        <v>0</v>
      </c>
      <c r="AD266" s="86">
        <f t="shared" si="128"/>
        <v>0</v>
      </c>
      <c r="AE266" s="45">
        <f t="shared" si="129"/>
        <v>0</v>
      </c>
      <c r="AF266" s="45">
        <f t="shared" si="129"/>
        <v>0</v>
      </c>
      <c r="AG266" s="45">
        <f t="shared" si="115"/>
        <v>0</v>
      </c>
      <c r="AH266" s="47">
        <f>IF(Y266="No",0,IFERROR(ROUNDDOWN(INDEX('90% of ACR'!K:K,MATCH(H:H,'90% of ACR'!A:A,0))*IF(I266&gt;0,IF(O266&gt;0,$R$4*MAX(O266-V266,0),0),0)/I266,2),0))</f>
        <v>0</v>
      </c>
      <c r="AI266" s="86">
        <f>IF(Y266="No",0,IFERROR(ROUNDDOWN(INDEX('90% of ACR'!R:R,MATCH(H:H,'90% of ACR'!A:A,0))*IF(J266&gt;0,IF(P266&gt;0,$R$4*MAX(P266-W266,0),0),0)/J266,2),0))</f>
        <v>0</v>
      </c>
      <c r="AJ266" s="45">
        <f t="shared" si="116"/>
        <v>0</v>
      </c>
      <c r="AK266" s="45">
        <f t="shared" si="116"/>
        <v>0</v>
      </c>
      <c r="AL266" s="47">
        <f t="shared" si="117"/>
        <v>0.37</v>
      </c>
      <c r="AM266" s="47">
        <f t="shared" si="117"/>
        <v>0</v>
      </c>
      <c r="AN266" s="87">
        <f>IFERROR(INDEX(FeeCalc!P:P,MATCH(C266,FeeCalc!F:F,0)),0)</f>
        <v>441390.92088347592</v>
      </c>
      <c r="AO266" s="87">
        <f>IFERROR(INDEX(FeeCalc!S:S,MATCH(C266,FeeCalc!F:F,0)),0)</f>
        <v>26928.358568487922</v>
      </c>
      <c r="AP266" s="87">
        <f t="shared" si="118"/>
        <v>468319.27945196384</v>
      </c>
      <c r="AQ266" s="72">
        <f t="shared" si="119"/>
        <v>198722.85648841076</v>
      </c>
      <c r="AR266" s="72">
        <f t="shared" si="120"/>
        <v>99361.428244205381</v>
      </c>
      <c r="AS266" s="72">
        <f t="shared" si="121"/>
        <v>99361.428244205381</v>
      </c>
      <c r="AT266" s="72">
        <f>IFERROR(IFERROR(INDEX('2023 IP UPL Data'!L:L,MATCH(A:A,'2023 IP UPL Data'!B:B,0)),INDEX('2023 IMD UPL Data'!I:I,MATCH(A:A,'2023 IMD UPL Data'!B:B,0))),0)</f>
        <v>466381.32</v>
      </c>
      <c r="AU266" s="72">
        <f>IFERROR(IF(F264="IMD",0,INDEX('2023 OP UPL Data'!J:J,MATCH(A:A,'2023 OP UPL Data'!B:B,0))),0)</f>
        <v>0</v>
      </c>
      <c r="AV266" s="45">
        <f t="shared" si="122"/>
        <v>466381.32</v>
      </c>
      <c r="AW266" s="72">
        <f>IFERROR(IFERROR(INDEX('2023 IP UPL Data'!M:M,MATCH(A:A,'2023 IP UPL Data'!B:B,0)),INDEX('2023 IMD UPL Data'!K:K,MATCH(A:A,'2023 IMD UPL Data'!B:B,0))),0)</f>
        <v>413721.92</v>
      </c>
      <c r="AX266" s="72">
        <f>IFERROR(IF(F264="IMD",0,INDEX('2023 OP UPL Data'!L:L,MATCH(A:A,'2023 OP UPL Data'!B:B,0))),0)</f>
        <v>0</v>
      </c>
      <c r="AY266" s="45">
        <f t="shared" si="123"/>
        <v>413721.92</v>
      </c>
      <c r="AZ266" s="72">
        <v>906537.16626540106</v>
      </c>
      <c r="BA266" s="72">
        <v>0</v>
      </c>
      <c r="BB266" s="72">
        <f t="shared" si="124"/>
        <v>465146.24538192514</v>
      </c>
      <c r="BC266" s="72">
        <f t="shared" si="124"/>
        <v>0</v>
      </c>
      <c r="BD266" s="72">
        <f t="shared" si="125"/>
        <v>465146.24538192514</v>
      </c>
      <c r="BE266" s="94">
        <f t="shared" si="126"/>
        <v>492815.24626540107</v>
      </c>
      <c r="BF266" s="94">
        <f t="shared" si="126"/>
        <v>0</v>
      </c>
      <c r="BG266" s="73">
        <f>IFERROR(INDEX('2023 IP UPL Data'!K:K,MATCH(A266,'2023 IP UPL Data'!B:B,0)),0)</f>
        <v>0</v>
      </c>
    </row>
    <row r="267" spans="1:59">
      <c r="A267" s="124" t="s">
        <v>898</v>
      </c>
      <c r="B267" s="149" t="s">
        <v>898</v>
      </c>
      <c r="C267" s="31" t="s">
        <v>899</v>
      </c>
      <c r="D267" s="181" t="s">
        <v>899</v>
      </c>
      <c r="E267" s="144" t="s">
        <v>900</v>
      </c>
      <c r="F267" s="120" t="s">
        <v>2718</v>
      </c>
      <c r="G267" s="120" t="s">
        <v>310</v>
      </c>
      <c r="H267" s="43" t="str">
        <f t="shared" si="106"/>
        <v>Urban MRSA Northeast</v>
      </c>
      <c r="I267" s="45">
        <f>INDEX(FeeCalc!M:M,MATCH(C:C,FeeCalc!F:F,0))</f>
        <v>18822385.752268326</v>
      </c>
      <c r="J267" s="45">
        <f>INDEX(FeeCalc!L:L,MATCH(C:C,FeeCalc!F:F,0))</f>
        <v>12363179.38290773</v>
      </c>
      <c r="K267" s="45">
        <f t="shared" si="107"/>
        <v>31185565.135176055</v>
      </c>
      <c r="L267" s="45">
        <f>IFERROR(IFERROR(INDEX('2023 IP UPL Data'!N:N,MATCH(A:A,'2023 IP UPL Data'!B:B,0)),INDEX('2023 IMD UPL Data'!M:M,MATCH(A:A,'2023 IMD UPL Data'!B:B,0))),0)</f>
        <v>9857338.973695647</v>
      </c>
      <c r="M267" s="45">
        <f>IFERROR((IF(F267="IMD",0,INDEX('2023 OP UPL Data'!M:M,MATCH(A:A,'2023 OP UPL Data'!B:B,0)))),0)</f>
        <v>10685837.91152174</v>
      </c>
      <c r="N267" s="45">
        <f t="shared" si="108"/>
        <v>20543176.885217387</v>
      </c>
      <c r="O267" s="45">
        <v>30858669.12358924</v>
      </c>
      <c r="P267" s="45">
        <v>14742372.940389778</v>
      </c>
      <c r="Q267" s="45">
        <f t="shared" si="109"/>
        <v>45601042.063979015</v>
      </c>
      <c r="R267" s="45" t="str">
        <f t="shared" si="110"/>
        <v>Yes</v>
      </c>
      <c r="S267" s="46" t="str">
        <f t="shared" si="110"/>
        <v>Yes</v>
      </c>
      <c r="T267" s="47">
        <f>ROUND(INDEX(Summary!H:H,MATCH(H:H,Summary!A:A,0)),2)</f>
        <v>0.79</v>
      </c>
      <c r="U267" s="47">
        <f>ROUND(INDEX(Summary!I:I,MATCH(H:H,Summary!A:A,0)),2)</f>
        <v>1.2</v>
      </c>
      <c r="V267" s="85">
        <f t="shared" si="111"/>
        <v>14869684.744291978</v>
      </c>
      <c r="W267" s="85">
        <f t="shared" si="111"/>
        <v>14835815.259489276</v>
      </c>
      <c r="X267" s="45">
        <f t="shared" si="112"/>
        <v>29705500.003781252</v>
      </c>
      <c r="Y267" s="45" t="s">
        <v>3223</v>
      </c>
      <c r="Z267" s="45" t="str">
        <f t="shared" si="113"/>
        <v>Yes</v>
      </c>
      <c r="AA267" s="45" t="str">
        <f t="shared" si="113"/>
        <v>No</v>
      </c>
      <c r="AB267" s="45" t="str">
        <f t="shared" si="114"/>
        <v>Yes</v>
      </c>
      <c r="AC267" s="86">
        <f t="shared" si="127"/>
        <v>0.59</v>
      </c>
      <c r="AD267" s="86">
        <f t="shared" si="128"/>
        <v>0</v>
      </c>
      <c r="AE267" s="45">
        <f t="shared" si="129"/>
        <v>11105207.593838312</v>
      </c>
      <c r="AF267" s="45">
        <f t="shared" si="129"/>
        <v>0</v>
      </c>
      <c r="AG267" s="45">
        <f t="shared" si="115"/>
        <v>11105207.593838312</v>
      </c>
      <c r="AH267" s="47">
        <f>IF(Y267="No",0,IFERROR(ROUNDDOWN(INDEX('90% of ACR'!K:K,MATCH(H:H,'90% of ACR'!A:A,0))*IF(I267&gt;0,IF(O267&gt;0,$R$4*MAX(O267-V267,0),0),0)/I267,2),0))</f>
        <v>0.59</v>
      </c>
      <c r="AI267" s="86">
        <f>IF(Y267="No",0,IFERROR(ROUNDDOWN(INDEX('90% of ACR'!R:R,MATCH(H:H,'90% of ACR'!A:A,0))*IF(J267&gt;0,IF(P267&gt;0,$R$4*MAX(P267-W267,0),0),0)/J267,2),0))</f>
        <v>0</v>
      </c>
      <c r="AJ267" s="45">
        <f t="shared" si="116"/>
        <v>11105207.593838312</v>
      </c>
      <c r="AK267" s="45">
        <f t="shared" si="116"/>
        <v>0</v>
      </c>
      <c r="AL267" s="47">
        <f t="shared" si="117"/>
        <v>1.38</v>
      </c>
      <c r="AM267" s="47">
        <f t="shared" si="117"/>
        <v>1.2</v>
      </c>
      <c r="AN267" s="87">
        <f>IFERROR(INDEX(FeeCalc!P:P,MATCH(C267,FeeCalc!F:F,0)),0)</f>
        <v>40810707.597619563</v>
      </c>
      <c r="AO267" s="87">
        <f>IFERROR(INDEX(FeeCalc!S:S,MATCH(C267,FeeCalc!F:F,0)),0)</f>
        <v>2533551.7624619175</v>
      </c>
      <c r="AP267" s="87">
        <f t="shared" si="118"/>
        <v>43344259.360081479</v>
      </c>
      <c r="AQ267" s="72">
        <f t="shared" si="119"/>
        <v>18392356.262782097</v>
      </c>
      <c r="AR267" s="72">
        <f t="shared" si="120"/>
        <v>9196178.1313910484</v>
      </c>
      <c r="AS267" s="72">
        <f t="shared" si="121"/>
        <v>9196178.1313910484</v>
      </c>
      <c r="AT267" s="72">
        <f>IFERROR(IFERROR(INDEX('2023 IP UPL Data'!L:L,MATCH(A:A,'2023 IP UPL Data'!B:B,0)),INDEX('2023 IMD UPL Data'!I:I,MATCH(A:A,'2023 IMD UPL Data'!B:B,0))),0)</f>
        <v>16794850.266304351</v>
      </c>
      <c r="AU267" s="72">
        <f>IFERROR(IF(F265="IMD",0,INDEX('2023 OP UPL Data'!J:J,MATCH(A:A,'2023 OP UPL Data'!B:B,0))),0)</f>
        <v>3392756.6684782607</v>
      </c>
      <c r="AV267" s="45">
        <f t="shared" si="122"/>
        <v>20187606.934782613</v>
      </c>
      <c r="AW267" s="72">
        <f>IFERROR(IFERROR(INDEX('2023 IP UPL Data'!M:M,MATCH(A:A,'2023 IP UPL Data'!B:B,0)),INDEX('2023 IMD UPL Data'!K:K,MATCH(A:A,'2023 IMD UPL Data'!B:B,0))),0)</f>
        <v>26652189.239999998</v>
      </c>
      <c r="AX267" s="72">
        <f>IFERROR(IF(F265="IMD",0,INDEX('2023 OP UPL Data'!L:L,MATCH(A:A,'2023 OP UPL Data'!B:B,0))),0)</f>
        <v>14078594.58</v>
      </c>
      <c r="AY267" s="45">
        <f t="shared" si="123"/>
        <v>40730783.82</v>
      </c>
      <c r="AZ267" s="72">
        <v>47653519.389893591</v>
      </c>
      <c r="BA267" s="72">
        <v>18135129.60886804</v>
      </c>
      <c r="BB267" s="72">
        <f t="shared" si="124"/>
        <v>32783834.645601615</v>
      </c>
      <c r="BC267" s="72">
        <f t="shared" si="124"/>
        <v>3299314.3493787646</v>
      </c>
      <c r="BD267" s="72">
        <f t="shared" si="125"/>
        <v>36083148.99498038</v>
      </c>
      <c r="BE267" s="94">
        <f t="shared" si="126"/>
        <v>21001330.149893593</v>
      </c>
      <c r="BF267" s="94">
        <f t="shared" si="126"/>
        <v>4056535.0288680401</v>
      </c>
      <c r="BG267" s="73">
        <f>IFERROR(INDEX('2023 IP UPL Data'!K:K,MATCH(A267,'2023 IP UPL Data'!B:B,0)),0)</f>
        <v>0</v>
      </c>
    </row>
    <row r="268" spans="1:59">
      <c r="A268" s="124" t="s">
        <v>3068</v>
      </c>
      <c r="B268" s="149" t="s">
        <v>3068</v>
      </c>
      <c r="C268" s="31" t="s">
        <v>3135</v>
      </c>
      <c r="D268" s="181" t="s">
        <v>3135</v>
      </c>
      <c r="E268" s="144" t="s">
        <v>3535</v>
      </c>
      <c r="F268" s="120" t="s">
        <v>2718</v>
      </c>
      <c r="G268" s="120" t="s">
        <v>1202</v>
      </c>
      <c r="H268" s="43" t="str">
        <f t="shared" si="106"/>
        <v>Urban Travis</v>
      </c>
      <c r="I268" s="45">
        <f>INDEX(FeeCalc!M:M,MATCH(C:C,FeeCalc!F:F,0))</f>
        <v>1524911.6393512955</v>
      </c>
      <c r="J268" s="45">
        <f>INDEX(FeeCalc!L:L,MATCH(C:C,FeeCalc!F:F,0))</f>
        <v>1383463.8369528698</v>
      </c>
      <c r="K268" s="45">
        <f t="shared" si="107"/>
        <v>2908375.4763041651</v>
      </c>
      <c r="L268" s="45">
        <f>IFERROR(IFERROR(INDEX('2023 IP UPL Data'!N:N,MATCH(A:A,'2023 IP UPL Data'!B:B,0)),INDEX('2023 IMD UPL Data'!M:M,MATCH(A:A,'2023 IMD UPL Data'!B:B,0))),0)</f>
        <v>3133767.4848101265</v>
      </c>
      <c r="M268" s="45">
        <f>IFERROR((IF(F268="IMD",0,INDEX('2023 OP UPL Data'!M:M,MATCH(A:A,'2023 OP UPL Data'!B:B,0)))),0)</f>
        <v>2724484.455949367</v>
      </c>
      <c r="N268" s="45">
        <f t="shared" si="108"/>
        <v>5858251.940759493</v>
      </c>
      <c r="O268" s="45">
        <v>6003747.8286871985</v>
      </c>
      <c r="P268" s="45">
        <v>3128624.0078117726</v>
      </c>
      <c r="Q268" s="45">
        <f t="shared" si="109"/>
        <v>9132371.836498972</v>
      </c>
      <c r="R268" s="45" t="str">
        <f t="shared" si="110"/>
        <v>Yes</v>
      </c>
      <c r="S268" s="46" t="str">
        <f t="shared" si="110"/>
        <v>Yes</v>
      </c>
      <c r="T268" s="47">
        <f>ROUND(INDEX(Summary!H:H,MATCH(H:H,Summary!A:A,0)),2)</f>
        <v>0.75</v>
      </c>
      <c r="U268" s="47">
        <f>ROUND(INDEX(Summary!I:I,MATCH(H:H,Summary!A:A,0)),2)</f>
        <v>1.83</v>
      </c>
      <c r="V268" s="85">
        <f t="shared" si="111"/>
        <v>1143683.7295134717</v>
      </c>
      <c r="W268" s="85">
        <f t="shared" si="111"/>
        <v>2531738.8216237519</v>
      </c>
      <c r="X268" s="45">
        <f t="shared" si="112"/>
        <v>3675422.5511372238</v>
      </c>
      <c r="Y268" s="45" t="s">
        <v>3223</v>
      </c>
      <c r="Z268" s="45" t="str">
        <f t="shared" si="113"/>
        <v>Yes</v>
      </c>
      <c r="AA268" s="45" t="str">
        <f t="shared" si="113"/>
        <v>Yes</v>
      </c>
      <c r="AB268" s="45" t="str">
        <f t="shared" si="114"/>
        <v>Yes</v>
      </c>
      <c r="AC268" s="86">
        <f t="shared" si="127"/>
        <v>2.2200000000000002</v>
      </c>
      <c r="AD268" s="86">
        <f t="shared" si="128"/>
        <v>0.3</v>
      </c>
      <c r="AE268" s="45">
        <f t="shared" si="129"/>
        <v>3385303.8393598762</v>
      </c>
      <c r="AF268" s="45">
        <f t="shared" si="129"/>
        <v>415039.15108586091</v>
      </c>
      <c r="AG268" s="45">
        <f t="shared" si="115"/>
        <v>3800342.9904457373</v>
      </c>
      <c r="AH268" s="47">
        <f>IF(Y268="No",0,IFERROR(ROUNDDOWN(INDEX('90% of ACR'!K:K,MATCH(H:H,'90% of ACR'!A:A,0))*IF(I268&gt;0,IF(O268&gt;0,$R$4*MAX(O268-V268,0),0),0)/I268,2),0))</f>
        <v>2.2200000000000002</v>
      </c>
      <c r="AI268" s="86">
        <f>IF(Y268="No",0,IFERROR(ROUNDDOWN(INDEX('90% of ACR'!R:R,MATCH(H:H,'90% of ACR'!A:A,0))*IF(J268&gt;0,IF(P268&gt;0,$R$4*MAX(P268-W268,0),0),0)/J268,2),0))</f>
        <v>0.15</v>
      </c>
      <c r="AJ268" s="45">
        <f t="shared" si="116"/>
        <v>3385303.8393598762</v>
      </c>
      <c r="AK268" s="45">
        <f t="shared" si="116"/>
        <v>207519.57554293046</v>
      </c>
      <c r="AL268" s="47">
        <f t="shared" si="117"/>
        <v>2.97</v>
      </c>
      <c r="AM268" s="47">
        <f t="shared" si="117"/>
        <v>1.98</v>
      </c>
      <c r="AN268" s="87">
        <f>IFERROR(INDEX(FeeCalc!P:P,MATCH(C268,FeeCalc!F:F,0)),0)</f>
        <v>7268245.9660400301</v>
      </c>
      <c r="AO268" s="87">
        <f>IFERROR(INDEX(FeeCalc!S:S,MATCH(C268,FeeCalc!F:F,0)),0)</f>
        <v>448459.56285625399</v>
      </c>
      <c r="AP268" s="87">
        <f t="shared" si="118"/>
        <v>7716705.5288962843</v>
      </c>
      <c r="AQ268" s="72">
        <f t="shared" si="119"/>
        <v>3274445.0904876185</v>
      </c>
      <c r="AR268" s="72">
        <f t="shared" si="120"/>
        <v>1637222.5452438092</v>
      </c>
      <c r="AS268" s="72">
        <f t="shared" si="121"/>
        <v>1637222.5452438092</v>
      </c>
      <c r="AT268" s="72">
        <f>IFERROR(IFERROR(INDEX('2023 IP UPL Data'!L:L,MATCH(A:A,'2023 IP UPL Data'!B:B,0)),INDEX('2023 IMD UPL Data'!I:I,MATCH(A:A,'2023 IMD UPL Data'!B:B,0))),0)</f>
        <v>1297761.2151898737</v>
      </c>
      <c r="AU268" s="72">
        <f>IFERROR(IF(F266="IMD",0,INDEX('2023 OP UPL Data'!J:J,MATCH(A:A,'2023 OP UPL Data'!B:B,0))),0)</f>
        <v>833364.92405063286</v>
      </c>
      <c r="AV268" s="45">
        <f t="shared" si="122"/>
        <v>2131126.1392405066</v>
      </c>
      <c r="AW268" s="72">
        <f>IFERROR(IFERROR(INDEX('2023 IP UPL Data'!M:M,MATCH(A:A,'2023 IP UPL Data'!B:B,0)),INDEX('2023 IMD UPL Data'!K:K,MATCH(A:A,'2023 IMD UPL Data'!B:B,0))),0)</f>
        <v>4431528.7</v>
      </c>
      <c r="AX268" s="72">
        <f>IFERROR(IF(F266="IMD",0,INDEX('2023 OP UPL Data'!L:L,MATCH(A:A,'2023 OP UPL Data'!B:B,0))),0)</f>
        <v>3557849.38</v>
      </c>
      <c r="AY268" s="45">
        <f t="shared" si="123"/>
        <v>7989378.0800000001</v>
      </c>
      <c r="AZ268" s="72">
        <v>7301509.0438770726</v>
      </c>
      <c r="BA268" s="72">
        <v>3961988.9318624055</v>
      </c>
      <c r="BB268" s="72">
        <f t="shared" si="124"/>
        <v>6157825.3143636007</v>
      </c>
      <c r="BC268" s="72">
        <f t="shared" si="124"/>
        <v>1430250.1102386536</v>
      </c>
      <c r="BD268" s="72">
        <f t="shared" si="125"/>
        <v>7588075.4246022552</v>
      </c>
      <c r="BE268" s="94">
        <f t="shared" si="126"/>
        <v>2869980.3438770724</v>
      </c>
      <c r="BF268" s="94">
        <f t="shared" si="126"/>
        <v>404139.55186240561</v>
      </c>
      <c r="BG268" s="73">
        <f>IFERROR(INDEX('2023 IP UPL Data'!K:K,MATCH(A268,'2023 IP UPL Data'!B:B,0)),0)</f>
        <v>0</v>
      </c>
    </row>
    <row r="269" spans="1:59" ht="25.5">
      <c r="A269" s="124" t="s">
        <v>1349</v>
      </c>
      <c r="B269" s="149" t="s">
        <v>3093</v>
      </c>
      <c r="C269" s="31" t="s">
        <v>1350</v>
      </c>
      <c r="D269" s="181" t="s">
        <v>1350</v>
      </c>
      <c r="E269" s="144" t="s">
        <v>3342</v>
      </c>
      <c r="F269" s="120" t="s">
        <v>3069</v>
      </c>
      <c r="G269" s="120" t="s">
        <v>1189</v>
      </c>
      <c r="H269" s="43" t="str">
        <f t="shared" si="106"/>
        <v>Non-state-owned IMD El Paso</v>
      </c>
      <c r="I269" s="45">
        <f>INDEX(FeeCalc!M:M,MATCH(C:C,FeeCalc!F:F,0))</f>
        <v>3937201.5824127966</v>
      </c>
      <c r="J269" s="45">
        <f>INDEX(FeeCalc!L:L,MATCH(C:C,FeeCalc!F:F,0))</f>
        <v>0</v>
      </c>
      <c r="K269" s="45">
        <f t="shared" si="107"/>
        <v>3937201.5824127966</v>
      </c>
      <c r="L269" s="45">
        <f>IFERROR(IFERROR(INDEX('2023 IP UPL Data'!N:N,MATCH(A:A,'2023 IP UPL Data'!B:B,0)),INDEX('2023 IMD UPL Data'!M:M,MATCH(A:A,'2023 IMD UPL Data'!B:B,0))),0)</f>
        <v>547557.56000000006</v>
      </c>
      <c r="M269" s="45">
        <f>IFERROR((IF(F269="IMD",0,INDEX('2023 OP UPL Data'!M:M,MATCH(A:A,'2023 OP UPL Data'!B:B,0)))),0)</f>
        <v>0</v>
      </c>
      <c r="N269" s="45">
        <f t="shared" si="108"/>
        <v>547557.56000000006</v>
      </c>
      <c r="O269" s="45">
        <v>925770.51363069518</v>
      </c>
      <c r="P269" s="45">
        <v>0</v>
      </c>
      <c r="Q269" s="45">
        <f t="shared" si="109"/>
        <v>925770.51363069518</v>
      </c>
      <c r="R269" s="45" t="str">
        <f t="shared" si="110"/>
        <v>Yes</v>
      </c>
      <c r="S269" s="46" t="str">
        <f t="shared" si="110"/>
        <v>No</v>
      </c>
      <c r="T269" s="47">
        <f>ROUND(INDEX(Summary!H:H,MATCH(H:H,Summary!A:A,0)),2)</f>
        <v>0.12</v>
      </c>
      <c r="U269" s="47">
        <f>ROUND(INDEX(Summary!I:I,MATCH(H:H,Summary!A:A,0)),2)</f>
        <v>0</v>
      </c>
      <c r="V269" s="85">
        <f t="shared" si="111"/>
        <v>472464.18988953554</v>
      </c>
      <c r="W269" s="85">
        <f t="shared" si="111"/>
        <v>0</v>
      </c>
      <c r="X269" s="45">
        <f t="shared" si="112"/>
        <v>472464.18988953554</v>
      </c>
      <c r="Y269" s="45" t="s">
        <v>3223</v>
      </c>
      <c r="Z269" s="45" t="str">
        <f t="shared" si="113"/>
        <v>No</v>
      </c>
      <c r="AA269" s="45" t="str">
        <f t="shared" si="113"/>
        <v>No</v>
      </c>
      <c r="AB269" s="45" t="str">
        <f t="shared" si="114"/>
        <v>Yes</v>
      </c>
      <c r="AC269" s="86">
        <f t="shared" si="127"/>
        <v>0.08</v>
      </c>
      <c r="AD269" s="86">
        <f t="shared" si="128"/>
        <v>0</v>
      </c>
      <c r="AE269" s="45">
        <f t="shared" si="129"/>
        <v>314976.12659302371</v>
      </c>
      <c r="AF269" s="45">
        <f t="shared" si="129"/>
        <v>0</v>
      </c>
      <c r="AG269" s="45">
        <f t="shared" si="115"/>
        <v>314976.12659302371</v>
      </c>
      <c r="AH269" s="47">
        <f>IF(Y269="No",0,IFERROR(ROUNDDOWN(INDEX('90% of ACR'!K:K,MATCH(H:H,'90% of ACR'!A:A,0))*IF(I269&gt;0,IF(O269&gt;0,$R$4*MAX(O269-V269,0),0),0)/I269,2),0))</f>
        <v>0</v>
      </c>
      <c r="AI269" s="86">
        <f>IF(Y269="No",0,IFERROR(ROUNDDOWN(INDEX('90% of ACR'!R:R,MATCH(H:H,'90% of ACR'!A:A,0))*IF(J269&gt;0,IF(P269&gt;0,$R$4*MAX(P269-W269,0),0),0)/J269,2),0))</f>
        <v>0</v>
      </c>
      <c r="AJ269" s="45">
        <f t="shared" si="116"/>
        <v>0</v>
      </c>
      <c r="AK269" s="45">
        <f t="shared" si="116"/>
        <v>0</v>
      </c>
      <c r="AL269" s="47">
        <f t="shared" si="117"/>
        <v>0.12</v>
      </c>
      <c r="AM269" s="47">
        <f t="shared" si="117"/>
        <v>0</v>
      </c>
      <c r="AN269" s="87">
        <f>IFERROR(INDEX(FeeCalc!P:P,MATCH(C269,FeeCalc!F:F,0)),0)</f>
        <v>472464.18988953554</v>
      </c>
      <c r="AO269" s="87">
        <f>IFERROR(INDEX(FeeCalc!S:S,MATCH(C269,FeeCalc!F:F,0)),0)</f>
        <v>28824.07524525018</v>
      </c>
      <c r="AP269" s="87">
        <f t="shared" si="118"/>
        <v>501288.26513478573</v>
      </c>
      <c r="AQ269" s="72">
        <f t="shared" si="119"/>
        <v>212712.65212117392</v>
      </c>
      <c r="AR269" s="72">
        <f t="shared" si="120"/>
        <v>106356.32606058696</v>
      </c>
      <c r="AS269" s="72">
        <f t="shared" si="121"/>
        <v>106356.32606058696</v>
      </c>
      <c r="AT269" s="72">
        <f>IFERROR(IFERROR(INDEX('2023 IP UPL Data'!L:L,MATCH(A:A,'2023 IP UPL Data'!B:B,0)),INDEX('2023 IMD UPL Data'!I:I,MATCH(A:A,'2023 IMD UPL Data'!B:B,0))),0)</f>
        <v>2520351.02</v>
      </c>
      <c r="AU269" s="72">
        <f>IFERROR(IF(F267="IMD",0,INDEX('2023 OP UPL Data'!J:J,MATCH(A:A,'2023 OP UPL Data'!B:B,0))),0)</f>
        <v>0</v>
      </c>
      <c r="AV269" s="45">
        <f t="shared" si="122"/>
        <v>2520351.02</v>
      </c>
      <c r="AW269" s="72">
        <f>IFERROR(IFERROR(INDEX('2023 IP UPL Data'!M:M,MATCH(A:A,'2023 IP UPL Data'!B:B,0)),INDEX('2023 IMD UPL Data'!K:K,MATCH(A:A,'2023 IMD UPL Data'!B:B,0))),0)</f>
        <v>547557.56000000006</v>
      </c>
      <c r="AX269" s="72">
        <f>IFERROR(IF(F267="IMD",0,INDEX('2023 OP UPL Data'!L:L,MATCH(A:A,'2023 OP UPL Data'!B:B,0))),0)</f>
        <v>0</v>
      </c>
      <c r="AY269" s="45">
        <f t="shared" si="123"/>
        <v>547557.56000000006</v>
      </c>
      <c r="AZ269" s="72">
        <v>3446121.5336306952</v>
      </c>
      <c r="BA269" s="72">
        <v>0</v>
      </c>
      <c r="BB269" s="72">
        <f t="shared" si="124"/>
        <v>2973657.3437411599</v>
      </c>
      <c r="BC269" s="72">
        <f t="shared" si="124"/>
        <v>0</v>
      </c>
      <c r="BD269" s="72">
        <f t="shared" si="125"/>
        <v>2973657.3437411599</v>
      </c>
      <c r="BE269" s="94">
        <f t="shared" si="126"/>
        <v>2898563.9736306951</v>
      </c>
      <c r="BF269" s="94">
        <f t="shared" si="126"/>
        <v>0</v>
      </c>
      <c r="BG269" s="73">
        <f>IFERROR(INDEX('2023 IP UPL Data'!K:K,MATCH(A269,'2023 IP UPL Data'!B:B,0)),0)</f>
        <v>0</v>
      </c>
    </row>
    <row r="270" spans="1:59">
      <c r="A270" s="124" t="s">
        <v>67</v>
      </c>
      <c r="B270" s="149" t="s">
        <v>67</v>
      </c>
      <c r="C270" s="31" t="s">
        <v>68</v>
      </c>
      <c r="D270" s="181" t="s">
        <v>68</v>
      </c>
      <c r="E270" s="144" t="s">
        <v>3536</v>
      </c>
      <c r="F270" s="120" t="s">
        <v>2718</v>
      </c>
      <c r="G270" s="120" t="s">
        <v>310</v>
      </c>
      <c r="H270" s="43" t="str">
        <f t="shared" si="106"/>
        <v>Urban MRSA Northeast</v>
      </c>
      <c r="I270" s="45">
        <f>INDEX(FeeCalc!M:M,MATCH(C:C,FeeCalc!F:F,0))</f>
        <v>4621995.2979338812</v>
      </c>
      <c r="J270" s="45">
        <f>INDEX(FeeCalc!L:L,MATCH(C:C,FeeCalc!F:F,0))</f>
        <v>4996953.153308304</v>
      </c>
      <c r="K270" s="45">
        <f t="shared" si="107"/>
        <v>9618948.4512421861</v>
      </c>
      <c r="L270" s="45">
        <f>IFERROR(IFERROR(INDEX('2023 IP UPL Data'!N:N,MATCH(A:A,'2023 IP UPL Data'!B:B,0)),INDEX('2023 IMD UPL Data'!M:M,MATCH(A:A,'2023 IMD UPL Data'!B:B,0))),0)</f>
        <v>4209917.0443478255</v>
      </c>
      <c r="M270" s="45">
        <f>IFERROR((IF(F270="IMD",0,INDEX('2023 OP UPL Data'!M:M,MATCH(A:A,'2023 OP UPL Data'!B:B,0)))),0)</f>
        <v>4476015.9269565213</v>
      </c>
      <c r="N270" s="45">
        <f t="shared" si="108"/>
        <v>8685932.9713043459</v>
      </c>
      <c r="O270" s="45">
        <v>12963962.611892067</v>
      </c>
      <c r="P270" s="45">
        <v>13427238.943181802</v>
      </c>
      <c r="Q270" s="45">
        <f t="shared" si="109"/>
        <v>26391201.555073868</v>
      </c>
      <c r="R270" s="45" t="str">
        <f t="shared" si="110"/>
        <v>Yes</v>
      </c>
      <c r="S270" s="46" t="str">
        <f t="shared" si="110"/>
        <v>Yes</v>
      </c>
      <c r="T270" s="47">
        <f>ROUND(INDEX(Summary!H:H,MATCH(H:H,Summary!A:A,0)),2)</f>
        <v>0.79</v>
      </c>
      <c r="U270" s="47">
        <f>ROUND(INDEX(Summary!I:I,MATCH(H:H,Summary!A:A,0)),2)</f>
        <v>1.2</v>
      </c>
      <c r="V270" s="85">
        <f t="shared" si="111"/>
        <v>3651376.2853677664</v>
      </c>
      <c r="W270" s="85">
        <f t="shared" si="111"/>
        <v>5996343.7839699648</v>
      </c>
      <c r="X270" s="45">
        <f t="shared" si="112"/>
        <v>9647720.0693377312</v>
      </c>
      <c r="Y270" s="45" t="s">
        <v>3223</v>
      </c>
      <c r="Z270" s="45" t="str">
        <f t="shared" si="113"/>
        <v>Yes</v>
      </c>
      <c r="AA270" s="45" t="str">
        <f t="shared" si="113"/>
        <v>Yes</v>
      </c>
      <c r="AB270" s="45" t="str">
        <f t="shared" si="114"/>
        <v>Yes</v>
      </c>
      <c r="AC270" s="86">
        <f t="shared" si="127"/>
        <v>1.4</v>
      </c>
      <c r="AD270" s="86">
        <f t="shared" si="128"/>
        <v>1.04</v>
      </c>
      <c r="AE270" s="45">
        <f t="shared" si="129"/>
        <v>6470793.4171074331</v>
      </c>
      <c r="AF270" s="45">
        <f t="shared" si="129"/>
        <v>5196831.2794406367</v>
      </c>
      <c r="AG270" s="45">
        <f t="shared" si="115"/>
        <v>11667624.696548071</v>
      </c>
      <c r="AH270" s="47">
        <f>IF(Y270="No",0,IFERROR(ROUNDDOWN(INDEX('90% of ACR'!K:K,MATCH(H:H,'90% of ACR'!A:A,0))*IF(I270&gt;0,IF(O270&gt;0,$R$4*MAX(O270-V270,0),0),0)/I270,2),0))</f>
        <v>1.4</v>
      </c>
      <c r="AI270" s="86">
        <f>IF(Y270="No",0,IFERROR(ROUNDDOWN(INDEX('90% of ACR'!R:R,MATCH(H:H,'90% of ACR'!A:A,0))*IF(J270&gt;0,IF(P270&gt;0,$R$4*MAX(P270-W270,0),0),0)/J270,2),0))</f>
        <v>1.03</v>
      </c>
      <c r="AJ270" s="45">
        <f t="shared" si="116"/>
        <v>6470793.4171074331</v>
      </c>
      <c r="AK270" s="45">
        <f t="shared" si="116"/>
        <v>5146861.7479075529</v>
      </c>
      <c r="AL270" s="47">
        <f t="shared" si="117"/>
        <v>2.19</v>
      </c>
      <c r="AM270" s="47">
        <f t="shared" si="117"/>
        <v>2.23</v>
      </c>
      <c r="AN270" s="87">
        <f>IFERROR(INDEX(FeeCalc!P:P,MATCH(C270,FeeCalc!F:F,0)),0)</f>
        <v>21265375.234352715</v>
      </c>
      <c r="AO270" s="87">
        <f>IFERROR(INDEX(FeeCalc!S:S,MATCH(C270,FeeCalc!F:F,0)),0)</f>
        <v>1326883.3188384846</v>
      </c>
      <c r="AP270" s="87">
        <f t="shared" si="118"/>
        <v>22592258.5531912</v>
      </c>
      <c r="AQ270" s="72">
        <f t="shared" si="119"/>
        <v>9586618.2563927285</v>
      </c>
      <c r="AR270" s="72">
        <f t="shared" si="120"/>
        <v>4793309.1281963643</v>
      </c>
      <c r="AS270" s="72">
        <f t="shared" si="121"/>
        <v>4793309.1281963643</v>
      </c>
      <c r="AT270" s="72">
        <f>IFERROR(IFERROR(INDEX('2023 IP UPL Data'!L:L,MATCH(A:A,'2023 IP UPL Data'!B:B,0)),INDEX('2023 IMD UPL Data'!I:I,MATCH(A:A,'2023 IMD UPL Data'!B:B,0))),0)</f>
        <v>4100617.4456521748</v>
      </c>
      <c r="AU270" s="72">
        <f>IFERROR(IF(F268="IMD",0,INDEX('2023 OP UPL Data'!J:J,MATCH(A:A,'2023 OP UPL Data'!B:B,0))),0)</f>
        <v>2267377.4130434785</v>
      </c>
      <c r="AV270" s="45">
        <f t="shared" si="122"/>
        <v>6367994.8586956533</v>
      </c>
      <c r="AW270" s="72">
        <f>IFERROR(IFERROR(INDEX('2023 IP UPL Data'!M:M,MATCH(A:A,'2023 IP UPL Data'!B:B,0)),INDEX('2023 IMD UPL Data'!K:K,MATCH(A:A,'2023 IMD UPL Data'!B:B,0))),0)</f>
        <v>8310534.4900000002</v>
      </c>
      <c r="AX270" s="72">
        <f>IFERROR(IF(F268="IMD",0,INDEX('2023 OP UPL Data'!L:L,MATCH(A:A,'2023 OP UPL Data'!B:B,0))),0)</f>
        <v>6743393.3399999999</v>
      </c>
      <c r="AY270" s="45">
        <f t="shared" si="123"/>
        <v>15053927.83</v>
      </c>
      <c r="AZ270" s="72">
        <v>17064580.057544243</v>
      </c>
      <c r="BA270" s="72">
        <v>15694616.35622528</v>
      </c>
      <c r="BB270" s="72">
        <f t="shared" si="124"/>
        <v>13413203.772176476</v>
      </c>
      <c r="BC270" s="72">
        <f t="shared" si="124"/>
        <v>9698272.5722553153</v>
      </c>
      <c r="BD270" s="72">
        <f t="shared" si="125"/>
        <v>23111476.344431788</v>
      </c>
      <c r="BE270" s="94">
        <f t="shared" si="126"/>
        <v>8754045.5675442424</v>
      </c>
      <c r="BF270" s="94">
        <f t="shared" si="126"/>
        <v>8951223.0162252802</v>
      </c>
      <c r="BG270" s="73">
        <f>IFERROR(INDEX('2023 IP UPL Data'!K:K,MATCH(A270,'2023 IP UPL Data'!B:B,0)),0)</f>
        <v>0</v>
      </c>
    </row>
    <row r="271" spans="1:59" ht="25.5">
      <c r="A271" s="124" t="s">
        <v>1354</v>
      </c>
      <c r="B271" s="149" t="s">
        <v>1354</v>
      </c>
      <c r="C271" s="31" t="s">
        <v>1355</v>
      </c>
      <c r="D271" s="181" t="s">
        <v>1355</v>
      </c>
      <c r="E271" s="144" t="s">
        <v>3537</v>
      </c>
      <c r="F271" s="120" t="s">
        <v>3069</v>
      </c>
      <c r="G271" s="120" t="s">
        <v>300</v>
      </c>
      <c r="H271" s="43" t="str">
        <f t="shared" si="106"/>
        <v>Non-state-owned IMD Harris</v>
      </c>
      <c r="I271" s="45">
        <f>INDEX(FeeCalc!M:M,MATCH(C:C,FeeCalc!F:F,0))</f>
        <v>3555182.7224820154</v>
      </c>
      <c r="J271" s="45">
        <f>INDEX(FeeCalc!L:L,MATCH(C:C,FeeCalc!F:F,0))</f>
        <v>0</v>
      </c>
      <c r="K271" s="45">
        <f t="shared" si="107"/>
        <v>3555182.7224820154</v>
      </c>
      <c r="L271" s="45">
        <f>IFERROR(IFERROR(INDEX('2023 IP UPL Data'!N:N,MATCH(A:A,'2023 IP UPL Data'!B:B,0)),INDEX('2023 IMD UPL Data'!M:M,MATCH(A:A,'2023 IMD UPL Data'!B:B,0))),0)</f>
        <v>-15139.74</v>
      </c>
      <c r="M271" s="45">
        <f>IFERROR((IF(F271="IMD",0,INDEX('2023 OP UPL Data'!M:M,MATCH(A:A,'2023 OP UPL Data'!B:B,0)))),0)</f>
        <v>0</v>
      </c>
      <c r="N271" s="45">
        <f t="shared" si="108"/>
        <v>-15139.74</v>
      </c>
      <c r="O271" s="45">
        <v>1853917.3928478453</v>
      </c>
      <c r="P271" s="45">
        <v>0</v>
      </c>
      <c r="Q271" s="45">
        <f t="shared" si="109"/>
        <v>1853917.3928478453</v>
      </c>
      <c r="R271" s="45" t="str">
        <f t="shared" si="110"/>
        <v>Yes</v>
      </c>
      <c r="S271" s="46" t="str">
        <f t="shared" si="110"/>
        <v>No</v>
      </c>
      <c r="T271" s="47">
        <f>ROUND(INDEX(Summary!H:H,MATCH(H:H,Summary!A:A,0)),2)</f>
        <v>0.44</v>
      </c>
      <c r="U271" s="47">
        <f>ROUND(INDEX(Summary!I:I,MATCH(H:H,Summary!A:A,0)),2)</f>
        <v>0</v>
      </c>
      <c r="V271" s="85">
        <f t="shared" si="111"/>
        <v>1564280.3978920868</v>
      </c>
      <c r="W271" s="85">
        <f t="shared" si="111"/>
        <v>0</v>
      </c>
      <c r="X271" s="45">
        <f t="shared" si="112"/>
        <v>1564280.3978920868</v>
      </c>
      <c r="Y271" s="45" t="s">
        <v>3223</v>
      </c>
      <c r="Z271" s="45" t="str">
        <f t="shared" si="113"/>
        <v>No</v>
      </c>
      <c r="AA271" s="45" t="str">
        <f t="shared" si="113"/>
        <v>No</v>
      </c>
      <c r="AB271" s="45" t="str">
        <f t="shared" si="114"/>
        <v>Yes</v>
      </c>
      <c r="AC271" s="86">
        <f t="shared" si="127"/>
        <v>0.06</v>
      </c>
      <c r="AD271" s="86">
        <f t="shared" si="128"/>
        <v>0</v>
      </c>
      <c r="AE271" s="45">
        <f t="shared" si="129"/>
        <v>213310.96334892092</v>
      </c>
      <c r="AF271" s="45">
        <f t="shared" si="129"/>
        <v>0</v>
      </c>
      <c r="AG271" s="45">
        <f t="shared" si="115"/>
        <v>213310.96334892092</v>
      </c>
      <c r="AH271" s="47">
        <f>IF(Y271="No",0,IFERROR(ROUNDDOWN(INDEX('90% of ACR'!K:K,MATCH(H:H,'90% of ACR'!A:A,0))*IF(I271&gt;0,IF(O271&gt;0,$R$4*MAX(O271-V271,0),0),0)/I271,2),0))</f>
        <v>0</v>
      </c>
      <c r="AI271" s="86">
        <f>IF(Y271="No",0,IFERROR(ROUNDDOWN(INDEX('90% of ACR'!R:R,MATCH(H:H,'90% of ACR'!A:A,0))*IF(J271&gt;0,IF(P271&gt;0,$R$4*MAX(P271-W271,0),0),0)/J271,2),0))</f>
        <v>0</v>
      </c>
      <c r="AJ271" s="45">
        <f t="shared" si="116"/>
        <v>0</v>
      </c>
      <c r="AK271" s="45">
        <f t="shared" si="116"/>
        <v>0</v>
      </c>
      <c r="AL271" s="47">
        <f t="shared" si="117"/>
        <v>0.44</v>
      </c>
      <c r="AM271" s="47">
        <f t="shared" si="117"/>
        <v>0</v>
      </c>
      <c r="AN271" s="87">
        <f>IFERROR(INDEX(FeeCalc!P:P,MATCH(C271,FeeCalc!F:F,0)),0)</f>
        <v>1564280.3978920868</v>
      </c>
      <c r="AO271" s="87">
        <f>IFERROR(INDEX(FeeCalc!S:S,MATCH(C271,FeeCalc!F:F,0)),0)</f>
        <v>95433.552126042443</v>
      </c>
      <c r="AP271" s="87">
        <f t="shared" si="118"/>
        <v>1659713.9500181293</v>
      </c>
      <c r="AQ271" s="72">
        <f t="shared" si="119"/>
        <v>704269.73983909294</v>
      </c>
      <c r="AR271" s="72">
        <f t="shared" si="120"/>
        <v>352134.86991954647</v>
      </c>
      <c r="AS271" s="72">
        <f t="shared" si="121"/>
        <v>352134.86991954647</v>
      </c>
      <c r="AT271" s="72">
        <f>IFERROR(IFERROR(INDEX('2023 IP UPL Data'!L:L,MATCH(A:A,'2023 IP UPL Data'!B:B,0)),INDEX('2023 IMD UPL Data'!I:I,MATCH(A:A,'2023 IMD UPL Data'!B:B,0))),0)</f>
        <v>5256111.38</v>
      </c>
      <c r="AU271" s="72">
        <f>IFERROR(IF(F269="IMD",0,INDEX('2023 OP UPL Data'!J:J,MATCH(A:A,'2023 OP UPL Data'!B:B,0))),0)</f>
        <v>0</v>
      </c>
      <c r="AV271" s="45">
        <f t="shared" si="122"/>
        <v>5256111.38</v>
      </c>
      <c r="AW271" s="72">
        <f>IFERROR(IFERROR(INDEX('2023 IP UPL Data'!M:M,MATCH(A:A,'2023 IP UPL Data'!B:B,0)),INDEX('2023 IMD UPL Data'!K:K,MATCH(A:A,'2023 IMD UPL Data'!B:B,0))),0)</f>
        <v>-15139.74</v>
      </c>
      <c r="AX271" s="72">
        <f>IFERROR(IF(F269="IMD",0,INDEX('2023 OP UPL Data'!L:L,MATCH(A:A,'2023 OP UPL Data'!B:B,0))),0)</f>
        <v>0</v>
      </c>
      <c r="AY271" s="45">
        <f t="shared" si="123"/>
        <v>-15139.74</v>
      </c>
      <c r="AZ271" s="72">
        <v>7110028.7728478452</v>
      </c>
      <c r="BA271" s="72">
        <v>0</v>
      </c>
      <c r="BB271" s="72">
        <f t="shared" si="124"/>
        <v>5545748.3749557585</v>
      </c>
      <c r="BC271" s="72">
        <f t="shared" si="124"/>
        <v>0</v>
      </c>
      <c r="BD271" s="72">
        <f t="shared" si="125"/>
        <v>5545748.3749557585</v>
      </c>
      <c r="BE271" s="94">
        <f t="shared" si="126"/>
        <v>7125168.5128478454</v>
      </c>
      <c r="BF271" s="94">
        <f t="shared" si="126"/>
        <v>0</v>
      </c>
      <c r="BG271" s="73">
        <f>IFERROR(INDEX('2023 IP UPL Data'!K:K,MATCH(A271,'2023 IP UPL Data'!B:B,0)),0)</f>
        <v>0</v>
      </c>
    </row>
    <row r="272" spans="1:59">
      <c r="A272" s="124" t="s">
        <v>64</v>
      </c>
      <c r="B272" s="149" t="s">
        <v>64</v>
      </c>
      <c r="C272" s="31" t="s">
        <v>65</v>
      </c>
      <c r="D272" s="181" t="s">
        <v>65</v>
      </c>
      <c r="E272" s="144" t="s">
        <v>66</v>
      </c>
      <c r="F272" s="120" t="s">
        <v>2718</v>
      </c>
      <c r="G272" s="120" t="s">
        <v>310</v>
      </c>
      <c r="H272" s="43" t="str">
        <f t="shared" si="106"/>
        <v>Urban MRSA Northeast</v>
      </c>
      <c r="I272" s="45">
        <f>INDEX(FeeCalc!M:M,MATCH(C:C,FeeCalc!F:F,0))</f>
        <v>11784465.540276285</v>
      </c>
      <c r="J272" s="45">
        <f>INDEX(FeeCalc!L:L,MATCH(C:C,FeeCalc!F:F,0))</f>
        <v>10089181.020444814</v>
      </c>
      <c r="K272" s="45">
        <f t="shared" si="107"/>
        <v>21873646.560721099</v>
      </c>
      <c r="L272" s="45">
        <f>IFERROR(IFERROR(INDEX('2023 IP UPL Data'!N:N,MATCH(A:A,'2023 IP UPL Data'!B:B,0)),INDEX('2023 IMD UPL Data'!M:M,MATCH(A:A,'2023 IMD UPL Data'!B:B,0))),0)</f>
        <v>13254985.319782607</v>
      </c>
      <c r="M272" s="45">
        <f>IFERROR((IF(F272="IMD",0,INDEX('2023 OP UPL Data'!M:M,MATCH(A:A,'2023 OP UPL Data'!B:B,0)))),0)</f>
        <v>12594663.092826083</v>
      </c>
      <c r="N272" s="45">
        <f t="shared" si="108"/>
        <v>25849648.412608691</v>
      </c>
      <c r="O272" s="45">
        <v>23337319.996874135</v>
      </c>
      <c r="P272" s="45">
        <v>30400029.329931162</v>
      </c>
      <c r="Q272" s="45">
        <f t="shared" si="109"/>
        <v>53737349.326805294</v>
      </c>
      <c r="R272" s="45" t="str">
        <f t="shared" si="110"/>
        <v>Yes</v>
      </c>
      <c r="S272" s="46" t="str">
        <f t="shared" si="110"/>
        <v>Yes</v>
      </c>
      <c r="T272" s="47">
        <f>ROUND(INDEX(Summary!H:H,MATCH(H:H,Summary!A:A,0)),2)</f>
        <v>0.79</v>
      </c>
      <c r="U272" s="47">
        <f>ROUND(INDEX(Summary!I:I,MATCH(H:H,Summary!A:A,0)),2)</f>
        <v>1.2</v>
      </c>
      <c r="V272" s="85">
        <f t="shared" si="111"/>
        <v>9309727.7768182661</v>
      </c>
      <c r="W272" s="85">
        <f t="shared" si="111"/>
        <v>12107017.224533776</v>
      </c>
      <c r="X272" s="45">
        <f t="shared" si="112"/>
        <v>21416745.001352042</v>
      </c>
      <c r="Y272" s="45" t="s">
        <v>3223</v>
      </c>
      <c r="Z272" s="45" t="str">
        <f t="shared" si="113"/>
        <v>Yes</v>
      </c>
      <c r="AA272" s="45" t="str">
        <f t="shared" si="113"/>
        <v>Yes</v>
      </c>
      <c r="AB272" s="45" t="str">
        <f t="shared" si="114"/>
        <v>Yes</v>
      </c>
      <c r="AC272" s="86">
        <f t="shared" si="127"/>
        <v>0.83</v>
      </c>
      <c r="AD272" s="86">
        <f t="shared" si="128"/>
        <v>1.26</v>
      </c>
      <c r="AE272" s="45">
        <f t="shared" si="129"/>
        <v>9781106.3984293155</v>
      </c>
      <c r="AF272" s="45">
        <f t="shared" si="129"/>
        <v>12712368.085760467</v>
      </c>
      <c r="AG272" s="45">
        <f t="shared" si="115"/>
        <v>22493474.484189782</v>
      </c>
      <c r="AH272" s="47">
        <f>IF(Y272="No",0,IFERROR(ROUNDDOWN(INDEX('90% of ACR'!K:K,MATCH(H:H,'90% of ACR'!A:A,0))*IF(I272&gt;0,IF(O272&gt;0,$R$4*MAX(O272-V272,0),0),0)/I272,2),0))</f>
        <v>0.82</v>
      </c>
      <c r="AI272" s="86">
        <f>IF(Y272="No",0,IFERROR(ROUNDDOWN(INDEX('90% of ACR'!R:R,MATCH(H:H,'90% of ACR'!A:A,0))*IF(J272&gt;0,IF(P272&gt;0,$R$4*MAX(P272-W272,0),0),0)/J272,2),0))</f>
        <v>1.26</v>
      </c>
      <c r="AJ272" s="45">
        <f t="shared" si="116"/>
        <v>9663261.7430265527</v>
      </c>
      <c r="AK272" s="45">
        <f t="shared" si="116"/>
        <v>12712368.085760467</v>
      </c>
      <c r="AL272" s="47">
        <f t="shared" si="117"/>
        <v>1.6099999999999999</v>
      </c>
      <c r="AM272" s="47">
        <f t="shared" si="117"/>
        <v>2.46</v>
      </c>
      <c r="AN272" s="87">
        <f>IFERROR(INDEX(FeeCalc!P:P,MATCH(C272,FeeCalc!F:F,0)),0)</f>
        <v>43792374.830139056</v>
      </c>
      <c r="AO272" s="87">
        <f>IFERROR(INDEX(FeeCalc!S:S,MATCH(C272,FeeCalc!F:F,0)),0)</f>
        <v>2732219.2138671195</v>
      </c>
      <c r="AP272" s="87">
        <f t="shared" si="118"/>
        <v>46524594.044006176</v>
      </c>
      <c r="AQ272" s="72">
        <f t="shared" si="119"/>
        <v>19741874.039881233</v>
      </c>
      <c r="AR272" s="72">
        <f t="shared" si="120"/>
        <v>9870937.0199406166</v>
      </c>
      <c r="AS272" s="72">
        <f t="shared" si="121"/>
        <v>9870937.0199406166</v>
      </c>
      <c r="AT272" s="72">
        <f>IFERROR(IFERROR(INDEX('2023 IP UPL Data'!L:L,MATCH(A:A,'2023 IP UPL Data'!B:B,0)),INDEX('2023 IMD UPL Data'!I:I,MATCH(A:A,'2023 IMD UPL Data'!B:B,0))),0)</f>
        <v>10111740.190217394</v>
      </c>
      <c r="AU272" s="72">
        <f>IFERROR(IF(F270="IMD",0,INDEX('2023 OP UPL Data'!J:J,MATCH(A:A,'2023 OP UPL Data'!B:B,0))),0)</f>
        <v>3036793.0271739149</v>
      </c>
      <c r="AV272" s="45">
        <f t="shared" si="122"/>
        <v>13148533.217391308</v>
      </c>
      <c r="AW272" s="72">
        <f>IFERROR(IFERROR(INDEX('2023 IP UPL Data'!M:M,MATCH(A:A,'2023 IP UPL Data'!B:B,0)),INDEX('2023 IMD UPL Data'!K:K,MATCH(A:A,'2023 IMD UPL Data'!B:B,0))),0)</f>
        <v>23366725.510000002</v>
      </c>
      <c r="AX272" s="72">
        <f>IFERROR(IF(F270="IMD",0,INDEX('2023 OP UPL Data'!L:L,MATCH(A:A,'2023 OP UPL Data'!B:B,0))),0)</f>
        <v>15631456.119999999</v>
      </c>
      <c r="AY272" s="45">
        <f t="shared" si="123"/>
        <v>38998181.630000003</v>
      </c>
      <c r="AZ272" s="72">
        <v>33449060.187091529</v>
      </c>
      <c r="BA272" s="72">
        <v>33436822.357105076</v>
      </c>
      <c r="BB272" s="72">
        <f t="shared" si="124"/>
        <v>24139332.410273261</v>
      </c>
      <c r="BC272" s="72">
        <f t="shared" si="124"/>
        <v>21329805.132571302</v>
      </c>
      <c r="BD272" s="72">
        <f t="shared" si="125"/>
        <v>45469137.542844564</v>
      </c>
      <c r="BE272" s="94">
        <f t="shared" si="126"/>
        <v>10082334.677091528</v>
      </c>
      <c r="BF272" s="94">
        <f t="shared" si="126"/>
        <v>17805366.237105079</v>
      </c>
      <c r="BG272" s="73">
        <f>IFERROR(INDEX('2023 IP UPL Data'!K:K,MATCH(A272,'2023 IP UPL Data'!B:B,0)),0)</f>
        <v>0</v>
      </c>
    </row>
    <row r="273" spans="1:59" ht="25.5">
      <c r="A273" s="124" t="s">
        <v>3617</v>
      </c>
      <c r="B273" s="149" t="s">
        <v>3617</v>
      </c>
      <c r="C273" s="31" t="s">
        <v>3393</v>
      </c>
      <c r="D273" s="181" t="s">
        <v>3393</v>
      </c>
      <c r="E273" s="144" t="s">
        <v>3538</v>
      </c>
      <c r="F273" s="120" t="s">
        <v>3069</v>
      </c>
      <c r="G273" s="120" t="s">
        <v>1489</v>
      </c>
      <c r="H273" s="43" t="str">
        <f t="shared" si="106"/>
        <v>Non-state-owned IMD MRSA Central</v>
      </c>
      <c r="I273" s="45">
        <f>INDEX(FeeCalc!M:M,MATCH(C:C,FeeCalc!F:F,0))</f>
        <v>795758.94651112461</v>
      </c>
      <c r="J273" s="45">
        <f>INDEX(FeeCalc!L:L,MATCH(C:C,FeeCalc!F:F,0))</f>
        <v>0</v>
      </c>
      <c r="K273" s="45">
        <f t="shared" si="107"/>
        <v>795758.94651112461</v>
      </c>
      <c r="L273" s="45">
        <f>IFERROR(IFERROR(INDEX('2023 IP UPL Data'!N:N,MATCH(A:A,'2023 IP UPL Data'!B:B,0)),INDEX('2023 IMD UPL Data'!M:M,MATCH(A:A,'2023 IMD UPL Data'!B:B,0))),0)</f>
        <v>104738.94</v>
      </c>
      <c r="M273" s="45">
        <f>IFERROR((IF(F273="IMD",0,INDEX('2023 OP UPL Data'!M:M,MATCH(A:A,'2023 OP UPL Data'!B:B,0)))),0)</f>
        <v>0</v>
      </c>
      <c r="N273" s="45">
        <f t="shared" si="108"/>
        <v>104738.94</v>
      </c>
      <c r="O273" s="45">
        <v>71115.979630171729</v>
      </c>
      <c r="P273" s="45">
        <v>0</v>
      </c>
      <c r="Q273" s="45">
        <f t="shared" si="109"/>
        <v>71115.979630171729</v>
      </c>
      <c r="R273" s="45" t="str">
        <f t="shared" si="110"/>
        <v>Yes</v>
      </c>
      <c r="S273" s="46" t="str">
        <f t="shared" si="110"/>
        <v>No</v>
      </c>
      <c r="T273" s="47">
        <f>ROUND(INDEX(Summary!H:H,MATCH(H:H,Summary!A:A,0)),2)</f>
        <v>0.42</v>
      </c>
      <c r="U273" s="47">
        <f>ROUND(INDEX(Summary!I:I,MATCH(H:H,Summary!A:A,0)),2)</f>
        <v>0</v>
      </c>
      <c r="V273" s="85">
        <f t="shared" si="111"/>
        <v>334218.75753467233</v>
      </c>
      <c r="W273" s="85">
        <f t="shared" si="111"/>
        <v>0</v>
      </c>
      <c r="X273" s="45">
        <f t="shared" si="112"/>
        <v>334218.75753467233</v>
      </c>
      <c r="Y273" s="45" t="s">
        <v>3223</v>
      </c>
      <c r="Z273" s="45" t="str">
        <f t="shared" si="113"/>
        <v>No</v>
      </c>
      <c r="AA273" s="45" t="str">
        <f t="shared" si="113"/>
        <v>No</v>
      </c>
      <c r="AB273" s="45" t="str">
        <f t="shared" si="114"/>
        <v>No</v>
      </c>
      <c r="AC273" s="86">
        <f t="shared" si="127"/>
        <v>0</v>
      </c>
      <c r="AD273" s="86">
        <f t="shared" si="128"/>
        <v>0</v>
      </c>
      <c r="AE273" s="45">
        <f t="shared" si="129"/>
        <v>0</v>
      </c>
      <c r="AF273" s="45">
        <f t="shared" si="129"/>
        <v>0</v>
      </c>
      <c r="AG273" s="45">
        <f t="shared" si="115"/>
        <v>0</v>
      </c>
      <c r="AH273" s="47">
        <f>IF(Y273="No",0,IFERROR(ROUNDDOWN(INDEX('90% of ACR'!K:K,MATCH(H:H,'90% of ACR'!A:A,0))*IF(I273&gt;0,IF(O273&gt;0,$R$4*MAX(O273-V273,0),0),0)/I273,2),0))</f>
        <v>0</v>
      </c>
      <c r="AI273" s="86">
        <f>IF(Y273="No",0,IFERROR(ROUNDDOWN(INDEX('90% of ACR'!R:R,MATCH(H:H,'90% of ACR'!A:A,0))*IF(J273&gt;0,IF(P273&gt;0,$R$4*MAX(P273-W273,0),0),0)/J273,2),0))</f>
        <v>0</v>
      </c>
      <c r="AJ273" s="45">
        <f t="shared" si="116"/>
        <v>0</v>
      </c>
      <c r="AK273" s="45">
        <f t="shared" si="116"/>
        <v>0</v>
      </c>
      <c r="AL273" s="47">
        <f t="shared" si="117"/>
        <v>0.42</v>
      </c>
      <c r="AM273" s="47">
        <f t="shared" si="117"/>
        <v>0</v>
      </c>
      <c r="AN273" s="87">
        <f>IFERROR(INDEX(FeeCalc!P:P,MATCH(C273,FeeCalc!F:F,0)),0)</f>
        <v>334218.75753467233</v>
      </c>
      <c r="AO273" s="87">
        <f>IFERROR(INDEX(FeeCalc!S:S,MATCH(C273,FeeCalc!F:F,0)),0)</f>
        <v>20390.00377532484</v>
      </c>
      <c r="AP273" s="87">
        <f t="shared" si="118"/>
        <v>354608.76130999718</v>
      </c>
      <c r="AQ273" s="72">
        <f t="shared" si="119"/>
        <v>150471.84490419374</v>
      </c>
      <c r="AR273" s="72">
        <f t="shared" si="120"/>
        <v>75235.922452096871</v>
      </c>
      <c r="AS273" s="72">
        <f t="shared" si="121"/>
        <v>75235.922452096871</v>
      </c>
      <c r="AT273" s="72">
        <f>IFERROR(IFERROR(INDEX('2023 IP UPL Data'!L:L,MATCH(A:A,'2023 IP UPL Data'!B:B,0)),INDEX('2023 IMD UPL Data'!I:I,MATCH(A:A,'2023 IMD UPL Data'!B:B,0))),0)</f>
        <v>239866.32</v>
      </c>
      <c r="AU273" s="72">
        <f>IFERROR(IF(F271="IMD",0,INDEX('2023 OP UPL Data'!J:J,MATCH(A:A,'2023 OP UPL Data'!B:B,0))),0)</f>
        <v>0</v>
      </c>
      <c r="AV273" s="45">
        <f t="shared" si="122"/>
        <v>239866.32</v>
      </c>
      <c r="AW273" s="72">
        <f>IFERROR(IFERROR(INDEX('2023 IP UPL Data'!M:M,MATCH(A:A,'2023 IP UPL Data'!B:B,0)),INDEX('2023 IMD UPL Data'!K:K,MATCH(A:A,'2023 IMD UPL Data'!B:B,0))),0)</f>
        <v>104738.94</v>
      </c>
      <c r="AX273" s="72">
        <f>IFERROR(IF(F271="IMD",0,INDEX('2023 OP UPL Data'!L:L,MATCH(A:A,'2023 OP UPL Data'!B:B,0))),0)</f>
        <v>0</v>
      </c>
      <c r="AY273" s="45">
        <f t="shared" si="123"/>
        <v>104738.94</v>
      </c>
      <c r="AZ273" s="72">
        <v>310982.29963017174</v>
      </c>
      <c r="BA273" s="72">
        <v>0</v>
      </c>
      <c r="BB273" s="72">
        <f t="shared" si="124"/>
        <v>0</v>
      </c>
      <c r="BC273" s="72">
        <f t="shared" si="124"/>
        <v>0</v>
      </c>
      <c r="BD273" s="72">
        <f t="shared" si="125"/>
        <v>0</v>
      </c>
      <c r="BE273" s="94">
        <f t="shared" si="126"/>
        <v>206243.35963017173</v>
      </c>
      <c r="BF273" s="94">
        <f t="shared" si="126"/>
        <v>0</v>
      </c>
      <c r="BG273" s="73">
        <f>IFERROR(INDEX('2023 IP UPL Data'!K:K,MATCH(A273,'2023 IP UPL Data'!B:B,0)),0)</f>
        <v>0</v>
      </c>
    </row>
    <row r="274" spans="1:59">
      <c r="A274" s="124" t="s">
        <v>599</v>
      </c>
      <c r="B274" s="149" t="s">
        <v>599</v>
      </c>
      <c r="C274" s="31" t="s">
        <v>600</v>
      </c>
      <c r="D274" s="181" t="s">
        <v>600</v>
      </c>
      <c r="E274" s="144" t="s">
        <v>601</v>
      </c>
      <c r="F274" s="120" t="s">
        <v>2768</v>
      </c>
      <c r="G274" s="120" t="s">
        <v>1555</v>
      </c>
      <c r="H274" s="43" t="str">
        <f t="shared" si="106"/>
        <v>Rural Jefferson</v>
      </c>
      <c r="I274" s="45">
        <f>INDEX(FeeCalc!M:M,MATCH(C:C,FeeCalc!F:F,0))</f>
        <v>508840.56933139573</v>
      </c>
      <c r="J274" s="45">
        <f>INDEX(FeeCalc!L:L,MATCH(C:C,FeeCalc!F:F,0))</f>
        <v>1760995.0260973554</v>
      </c>
      <c r="K274" s="45">
        <f t="shared" si="107"/>
        <v>2269835.5954287513</v>
      </c>
      <c r="L274" s="45">
        <f>IFERROR(IFERROR(INDEX('2023 IP UPL Data'!N:N,MATCH(A:A,'2023 IP UPL Data'!B:B,0)),INDEX('2023 IMD UPL Data'!M:M,MATCH(A:A,'2023 IMD UPL Data'!B:B,0))),0)</f>
        <v>26541.615438341745</v>
      </c>
      <c r="M274" s="45">
        <f>IFERROR((IF(F274="IMD",0,INDEX('2023 OP UPL Data'!M:M,MATCH(A:A,'2023 OP UPL Data'!B:B,0)))),0)</f>
        <v>453296.03012121201</v>
      </c>
      <c r="N274" s="45">
        <f t="shared" si="108"/>
        <v>479837.64555955376</v>
      </c>
      <c r="O274" s="45">
        <v>-119233.56216785673</v>
      </c>
      <c r="P274" s="45">
        <v>1830355.7216109019</v>
      </c>
      <c r="Q274" s="45">
        <f t="shared" si="109"/>
        <v>1711122.159443045</v>
      </c>
      <c r="R274" s="45" t="str">
        <f t="shared" si="110"/>
        <v>No</v>
      </c>
      <c r="S274" s="46" t="str">
        <f t="shared" si="110"/>
        <v>Yes</v>
      </c>
      <c r="T274" s="47">
        <f>ROUND(INDEX(Summary!H:H,MATCH(H:H,Summary!A:A,0)),2)</f>
        <v>0</v>
      </c>
      <c r="U274" s="47">
        <f>ROUND(INDEX(Summary!I:I,MATCH(H:H,Summary!A:A,0)),2)</f>
        <v>0.39</v>
      </c>
      <c r="V274" s="85">
        <f t="shared" si="111"/>
        <v>0</v>
      </c>
      <c r="W274" s="85">
        <f t="shared" si="111"/>
        <v>686788.06017796858</v>
      </c>
      <c r="X274" s="45">
        <f t="shared" si="112"/>
        <v>686788.06017796858</v>
      </c>
      <c r="Y274" s="45" t="s">
        <v>3223</v>
      </c>
      <c r="Z274" s="45" t="str">
        <f t="shared" si="113"/>
        <v>No</v>
      </c>
      <c r="AA274" s="45" t="str">
        <f t="shared" si="113"/>
        <v>Yes</v>
      </c>
      <c r="AB274" s="45" t="str">
        <f t="shared" si="114"/>
        <v>Yes</v>
      </c>
      <c r="AC274" s="86">
        <f t="shared" si="127"/>
        <v>0</v>
      </c>
      <c r="AD274" s="86">
        <f t="shared" si="128"/>
        <v>0.45</v>
      </c>
      <c r="AE274" s="45">
        <f t="shared" si="129"/>
        <v>0</v>
      </c>
      <c r="AF274" s="45">
        <f t="shared" si="129"/>
        <v>792447.76174380991</v>
      </c>
      <c r="AG274" s="45">
        <f t="shared" si="115"/>
        <v>792447.76174380991</v>
      </c>
      <c r="AH274" s="47">
        <f>IF(Y274="No",0,IFERROR(ROUNDDOWN(INDEX('90% of ACR'!K:K,MATCH(H:H,'90% of ACR'!A:A,0))*IF(I274&gt;0,IF(O274&gt;0,$R$4*MAX(O274-V274,0),0),0)/I274,2),0))</f>
        <v>0</v>
      </c>
      <c r="AI274" s="86">
        <f>IF(Y274="No",0,IFERROR(ROUNDDOWN(INDEX('90% of ACR'!R:R,MATCH(H:H,'90% of ACR'!A:A,0))*IF(J274&gt;0,IF(P274&gt;0,$R$4*MAX(P274-W274,0),0),0)/J274,2),0))</f>
        <v>0.44</v>
      </c>
      <c r="AJ274" s="45">
        <f t="shared" si="116"/>
        <v>0</v>
      </c>
      <c r="AK274" s="45">
        <f t="shared" si="116"/>
        <v>774837.81148283638</v>
      </c>
      <c r="AL274" s="47">
        <f t="shared" si="117"/>
        <v>0</v>
      </c>
      <c r="AM274" s="47">
        <f t="shared" si="117"/>
        <v>0.83000000000000007</v>
      </c>
      <c r="AN274" s="87">
        <f>IFERROR(INDEX(FeeCalc!P:P,MATCH(C274,FeeCalc!F:F,0)),0)</f>
        <v>1461625.8716608051</v>
      </c>
      <c r="AO274" s="87">
        <f>IFERROR(INDEX(FeeCalc!S:S,MATCH(C274,FeeCalc!F:F,0)),0)</f>
        <v>90454.718837877153</v>
      </c>
      <c r="AP274" s="87">
        <f t="shared" si="118"/>
        <v>1552080.5904986821</v>
      </c>
      <c r="AQ274" s="72">
        <f t="shared" si="119"/>
        <v>658597.46112748689</v>
      </c>
      <c r="AR274" s="72">
        <f t="shared" si="120"/>
        <v>329298.73056374345</v>
      </c>
      <c r="AS274" s="72">
        <f t="shared" si="121"/>
        <v>329298.73056374345</v>
      </c>
      <c r="AT274" s="72">
        <f>IFERROR(IFERROR(INDEX('2023 IP UPL Data'!L:L,MATCH(A:A,'2023 IP UPL Data'!B:B,0)),INDEX('2023 IMD UPL Data'!I:I,MATCH(A:A,'2023 IMD UPL Data'!B:B,0))),0)</f>
        <v>642144.28456165828</v>
      </c>
      <c r="AU274" s="72">
        <f>IFERROR(IF(F272="IMD",0,INDEX('2023 OP UPL Data'!J:J,MATCH(A:A,'2023 OP UPL Data'!B:B,0))),0)</f>
        <v>657744.09987878788</v>
      </c>
      <c r="AV274" s="45">
        <f t="shared" si="122"/>
        <v>1299888.3844404463</v>
      </c>
      <c r="AW274" s="72">
        <f>IFERROR(IFERROR(INDEX('2023 IP UPL Data'!M:M,MATCH(A:A,'2023 IP UPL Data'!B:B,0)),INDEX('2023 IMD UPL Data'!K:K,MATCH(A:A,'2023 IMD UPL Data'!B:B,0))),0)</f>
        <v>668685.9</v>
      </c>
      <c r="AX274" s="72">
        <f>IFERROR(IF(F272="IMD",0,INDEX('2023 OP UPL Data'!L:L,MATCH(A:A,'2023 OP UPL Data'!B:B,0))),0)</f>
        <v>1111040.1299999999</v>
      </c>
      <c r="AY274" s="45">
        <f t="shared" si="123"/>
        <v>1779726.0299999998</v>
      </c>
      <c r="AZ274" s="72">
        <v>522910.72239380155</v>
      </c>
      <c r="BA274" s="72">
        <v>2488099.8214896899</v>
      </c>
      <c r="BB274" s="72">
        <f t="shared" si="124"/>
        <v>522910.72239380155</v>
      </c>
      <c r="BC274" s="72">
        <f t="shared" si="124"/>
        <v>1801311.7613117213</v>
      </c>
      <c r="BD274" s="72">
        <f t="shared" si="125"/>
        <v>2324222.4837055225</v>
      </c>
      <c r="BE274" s="94">
        <f t="shared" si="126"/>
        <v>0</v>
      </c>
      <c r="BF274" s="94">
        <f t="shared" si="126"/>
        <v>1377059.69148969</v>
      </c>
      <c r="BG274" s="73">
        <f>IFERROR(INDEX('2023 IP UPL Data'!K:K,MATCH(A274,'2023 IP UPL Data'!B:B,0)),0)</f>
        <v>0</v>
      </c>
    </row>
    <row r="275" spans="1:59">
      <c r="A275" s="124" t="s">
        <v>593</v>
      </c>
      <c r="B275" s="149" t="s">
        <v>593</v>
      </c>
      <c r="C275" s="31" t="s">
        <v>594</v>
      </c>
      <c r="D275" s="181" t="s">
        <v>594</v>
      </c>
      <c r="E275" s="144" t="s">
        <v>595</v>
      </c>
      <c r="F275" s="120" t="s">
        <v>2718</v>
      </c>
      <c r="G275" s="120" t="s">
        <v>1555</v>
      </c>
      <c r="H275" s="43" t="str">
        <f t="shared" si="106"/>
        <v>Urban Jefferson</v>
      </c>
      <c r="I275" s="45">
        <f>INDEX(FeeCalc!M:M,MATCH(C:C,FeeCalc!F:F,0))</f>
        <v>8579099.9278651681</v>
      </c>
      <c r="J275" s="45">
        <f>INDEX(FeeCalc!L:L,MATCH(C:C,FeeCalc!F:F,0))</f>
        <v>6421188.4059680812</v>
      </c>
      <c r="K275" s="45">
        <f t="shared" si="107"/>
        <v>15000288.333833249</v>
      </c>
      <c r="L275" s="45">
        <f>IFERROR(IFERROR(INDEX('2023 IP UPL Data'!N:N,MATCH(A:A,'2023 IP UPL Data'!B:B,0)),INDEX('2023 IMD UPL Data'!M:M,MATCH(A:A,'2023 IMD UPL Data'!B:B,0))),0)</f>
        <v>11534393.078602619</v>
      </c>
      <c r="M275" s="45">
        <f>IFERROR((IF(F275="IMD",0,INDEX('2023 OP UPL Data'!M:M,MATCH(A:A,'2023 OP UPL Data'!B:B,0)))),0)</f>
        <v>8182123.0548908301</v>
      </c>
      <c r="N275" s="45">
        <f t="shared" si="108"/>
        <v>19716516.13349345</v>
      </c>
      <c r="O275" s="45">
        <v>23300590.68138263</v>
      </c>
      <c r="P275" s="45">
        <v>14183768.951049859</v>
      </c>
      <c r="Q275" s="45">
        <f t="shared" si="109"/>
        <v>37484359.632432491</v>
      </c>
      <c r="R275" s="45" t="str">
        <f t="shared" si="110"/>
        <v>Yes</v>
      </c>
      <c r="S275" s="46" t="str">
        <f t="shared" si="110"/>
        <v>Yes</v>
      </c>
      <c r="T275" s="47">
        <f>ROUND(INDEX(Summary!H:H,MATCH(H:H,Summary!A:A,0)),2)</f>
        <v>1.34</v>
      </c>
      <c r="U275" s="47">
        <f>ROUND(INDEX(Summary!I:I,MATCH(H:H,Summary!A:A,0)),2)</f>
        <v>1.7</v>
      </c>
      <c r="V275" s="85">
        <f t="shared" si="111"/>
        <v>11495993.903339326</v>
      </c>
      <c r="W275" s="85">
        <f t="shared" si="111"/>
        <v>10916020.290145738</v>
      </c>
      <c r="X275" s="45">
        <f t="shared" si="112"/>
        <v>22412014.193485066</v>
      </c>
      <c r="Y275" s="45" t="s">
        <v>3223</v>
      </c>
      <c r="Z275" s="45" t="str">
        <f t="shared" si="113"/>
        <v>Yes</v>
      </c>
      <c r="AA275" s="45" t="str">
        <f t="shared" si="113"/>
        <v>Yes</v>
      </c>
      <c r="AB275" s="45" t="str">
        <f t="shared" si="114"/>
        <v>Yes</v>
      </c>
      <c r="AC275" s="86">
        <f t="shared" si="127"/>
        <v>0.96</v>
      </c>
      <c r="AD275" s="86">
        <f t="shared" si="128"/>
        <v>0.35</v>
      </c>
      <c r="AE275" s="45">
        <f t="shared" si="129"/>
        <v>8235935.9307505609</v>
      </c>
      <c r="AF275" s="45">
        <f t="shared" si="129"/>
        <v>2247415.9420888284</v>
      </c>
      <c r="AG275" s="45">
        <f t="shared" si="115"/>
        <v>10483351.872839389</v>
      </c>
      <c r="AH275" s="47">
        <f>IF(Y275="No",0,IFERROR(ROUNDDOWN(INDEX('90% of ACR'!K:K,MATCH(H:H,'90% of ACR'!A:A,0))*IF(I275&gt;0,IF(O275&gt;0,$R$4*MAX(O275-V275,0),0),0)/I275,2),0))</f>
        <v>0.83</v>
      </c>
      <c r="AI275" s="86">
        <f>IF(Y275="No",0,IFERROR(ROUNDDOWN(INDEX('90% of ACR'!R:R,MATCH(H:H,'90% of ACR'!A:A,0))*IF(J275&gt;0,IF(P275&gt;0,$R$4*MAX(P275-W275,0),0),0)/J275,2),0))</f>
        <v>0.28999999999999998</v>
      </c>
      <c r="AJ275" s="45">
        <f t="shared" si="116"/>
        <v>7120652.9401280889</v>
      </c>
      <c r="AK275" s="45">
        <f t="shared" si="116"/>
        <v>1862144.6377307435</v>
      </c>
      <c r="AL275" s="47">
        <f t="shared" si="117"/>
        <v>2.17</v>
      </c>
      <c r="AM275" s="47">
        <f t="shared" si="117"/>
        <v>1.99</v>
      </c>
      <c r="AN275" s="87">
        <f>IFERROR(INDEX(FeeCalc!P:P,MATCH(C275,FeeCalc!F:F,0)),0)</f>
        <v>31394811.771343894</v>
      </c>
      <c r="AO275" s="87">
        <f>IFERROR(INDEX(FeeCalc!S:S,MATCH(C275,FeeCalc!F:F,0)),0)</f>
        <v>1954009.1387631912</v>
      </c>
      <c r="AP275" s="87">
        <f t="shared" si="118"/>
        <v>33348820.910107084</v>
      </c>
      <c r="AQ275" s="72">
        <f t="shared" si="119"/>
        <v>14150971.874427561</v>
      </c>
      <c r="AR275" s="72">
        <f t="shared" si="120"/>
        <v>7075485.9372137804</v>
      </c>
      <c r="AS275" s="72">
        <f t="shared" si="121"/>
        <v>7075485.9372137804</v>
      </c>
      <c r="AT275" s="72">
        <f>IFERROR(IFERROR(INDEX('2023 IP UPL Data'!L:L,MATCH(A:A,'2023 IP UPL Data'!B:B,0)),INDEX('2023 IMD UPL Data'!I:I,MATCH(A:A,'2023 IMD UPL Data'!B:B,0))),0)</f>
        <v>8386515.9213973805</v>
      </c>
      <c r="AU275" s="72">
        <f>IFERROR(IF(F273="IMD",0,INDEX('2023 OP UPL Data'!J:J,MATCH(A:A,'2023 OP UPL Data'!B:B,0))),0)</f>
        <v>2853938.27510917</v>
      </c>
      <c r="AV275" s="45">
        <f t="shared" si="122"/>
        <v>11240454.196506551</v>
      </c>
      <c r="AW275" s="72">
        <f>IFERROR(IFERROR(INDEX('2023 IP UPL Data'!M:M,MATCH(A:A,'2023 IP UPL Data'!B:B,0)),INDEX('2023 IMD UPL Data'!K:K,MATCH(A:A,'2023 IMD UPL Data'!B:B,0))),0)</f>
        <v>19920909</v>
      </c>
      <c r="AX275" s="72">
        <f>IFERROR(IF(F273="IMD",0,INDEX('2023 OP UPL Data'!L:L,MATCH(A:A,'2023 OP UPL Data'!B:B,0))),0)</f>
        <v>11036061.33</v>
      </c>
      <c r="AY275" s="45">
        <f t="shared" si="123"/>
        <v>30956970.329999998</v>
      </c>
      <c r="AZ275" s="72">
        <v>31687106.602780011</v>
      </c>
      <c r="BA275" s="72">
        <v>17037707.226159029</v>
      </c>
      <c r="BB275" s="72">
        <f t="shared" si="124"/>
        <v>20191112.699440684</v>
      </c>
      <c r="BC275" s="72">
        <f t="shared" si="124"/>
        <v>6121686.9360132907</v>
      </c>
      <c r="BD275" s="72">
        <f t="shared" si="125"/>
        <v>26312799.635453969</v>
      </c>
      <c r="BE275" s="94">
        <f t="shared" si="126"/>
        <v>11766197.602780011</v>
      </c>
      <c r="BF275" s="94">
        <f t="shared" si="126"/>
        <v>6001645.8961590286</v>
      </c>
      <c r="BG275" s="73">
        <f>IFERROR(INDEX('2023 IP UPL Data'!K:K,MATCH(A275,'2023 IP UPL Data'!B:B,0)),0)</f>
        <v>0</v>
      </c>
    </row>
    <row r="276" spans="1:59">
      <c r="A276" s="124" t="s">
        <v>1162</v>
      </c>
      <c r="B276" s="149" t="s">
        <v>1162</v>
      </c>
      <c r="C276" s="31" t="s">
        <v>1163</v>
      </c>
      <c r="D276" s="181" t="s">
        <v>1163</v>
      </c>
      <c r="E276" s="144" t="s">
        <v>3133</v>
      </c>
      <c r="F276" s="120" t="s">
        <v>2718</v>
      </c>
      <c r="G276" s="120" t="s">
        <v>227</v>
      </c>
      <c r="H276" s="43" t="str">
        <f t="shared" si="106"/>
        <v>Urban MRSA West</v>
      </c>
      <c r="I276" s="45">
        <f>INDEX(FeeCalc!M:M,MATCH(C:C,FeeCalc!F:F,0))</f>
        <v>8349571.0181137081</v>
      </c>
      <c r="J276" s="45">
        <f>INDEX(FeeCalc!L:L,MATCH(C:C,FeeCalc!F:F,0))</f>
        <v>5688928.7733517326</v>
      </c>
      <c r="K276" s="45">
        <f t="shared" si="107"/>
        <v>14038499.791465441</v>
      </c>
      <c r="L276" s="45">
        <f>IFERROR(IFERROR(INDEX('2023 IP UPL Data'!N:N,MATCH(A:A,'2023 IP UPL Data'!B:B,0)),INDEX('2023 IMD UPL Data'!M:M,MATCH(A:A,'2023 IMD UPL Data'!B:B,0))),0)</f>
        <v>6715481.0775138121</v>
      </c>
      <c r="M276" s="45">
        <f>IFERROR((IF(F276="IMD",0,INDEX('2023 OP UPL Data'!M:M,MATCH(A:A,'2023 OP UPL Data'!B:B,0)))),0)</f>
        <v>5625045.0113259675</v>
      </c>
      <c r="N276" s="45">
        <f t="shared" si="108"/>
        <v>12340526.088839781</v>
      </c>
      <c r="O276" s="45">
        <v>8006507.5270550195</v>
      </c>
      <c r="P276" s="45">
        <v>6832523.5541145951</v>
      </c>
      <c r="Q276" s="45">
        <f t="shared" si="109"/>
        <v>14839031.081169615</v>
      </c>
      <c r="R276" s="45" t="str">
        <f t="shared" si="110"/>
        <v>Yes</v>
      </c>
      <c r="S276" s="46" t="str">
        <f t="shared" si="110"/>
        <v>Yes</v>
      </c>
      <c r="T276" s="47">
        <f>ROUND(INDEX(Summary!H:H,MATCH(H:H,Summary!A:A,0)),2)</f>
        <v>0.43</v>
      </c>
      <c r="U276" s="47">
        <f>ROUND(INDEX(Summary!I:I,MATCH(H:H,Summary!A:A,0)),2)</f>
        <v>1.18</v>
      </c>
      <c r="V276" s="85">
        <f t="shared" si="111"/>
        <v>3590315.5377888945</v>
      </c>
      <c r="W276" s="85">
        <f t="shared" si="111"/>
        <v>6712935.9525550446</v>
      </c>
      <c r="X276" s="45">
        <f t="shared" si="112"/>
        <v>10303251.49034394</v>
      </c>
      <c r="Y276" s="45" t="s">
        <v>3223</v>
      </c>
      <c r="Z276" s="45" t="str">
        <f t="shared" si="113"/>
        <v>Yes</v>
      </c>
      <c r="AA276" s="45" t="str">
        <f t="shared" si="113"/>
        <v>Yes</v>
      </c>
      <c r="AB276" s="45" t="str">
        <f t="shared" si="114"/>
        <v>Yes</v>
      </c>
      <c r="AC276" s="86">
        <f t="shared" si="127"/>
        <v>0.37</v>
      </c>
      <c r="AD276" s="86">
        <f t="shared" si="128"/>
        <v>0.01</v>
      </c>
      <c r="AE276" s="45">
        <f t="shared" si="129"/>
        <v>3089341.276702072</v>
      </c>
      <c r="AF276" s="45">
        <f t="shared" si="129"/>
        <v>56889.287733517325</v>
      </c>
      <c r="AG276" s="45">
        <f t="shared" si="115"/>
        <v>3146230.5644355891</v>
      </c>
      <c r="AH276" s="47">
        <f>IF(Y276="No",0,IFERROR(ROUNDDOWN(INDEX('90% of ACR'!K:K,MATCH(H:H,'90% of ACR'!A:A,0))*IF(I276&gt;0,IF(O276&gt;0,$R$4*MAX(O276-V276,0),0),0)/I276,2),0))</f>
        <v>0.36</v>
      </c>
      <c r="AI276" s="86">
        <f>IF(Y276="No",0,IFERROR(ROUNDDOWN(INDEX('90% of ACR'!R:R,MATCH(H:H,'90% of ACR'!A:A,0))*IF(J276&gt;0,IF(P276&gt;0,$R$4*MAX(P276-W276,0),0),0)/J276,2),0))</f>
        <v>0.01</v>
      </c>
      <c r="AJ276" s="45">
        <f t="shared" si="116"/>
        <v>3005845.5665209349</v>
      </c>
      <c r="AK276" s="45">
        <f t="shared" si="116"/>
        <v>56889.287733517325</v>
      </c>
      <c r="AL276" s="47">
        <f t="shared" si="117"/>
        <v>0.79</v>
      </c>
      <c r="AM276" s="47">
        <f t="shared" si="117"/>
        <v>1.19</v>
      </c>
      <c r="AN276" s="87">
        <f>IFERROR(INDEX(FeeCalc!P:P,MATCH(C276,FeeCalc!F:F,0)),0)</f>
        <v>13365986.34459839</v>
      </c>
      <c r="AO276" s="87">
        <f>IFERROR(INDEX(FeeCalc!S:S,MATCH(C276,FeeCalc!F:F,0)),0)</f>
        <v>824846.9593503247</v>
      </c>
      <c r="AP276" s="87">
        <f t="shared" si="118"/>
        <v>14190833.303948715</v>
      </c>
      <c r="AQ276" s="72">
        <f t="shared" si="119"/>
        <v>6021624.6775311669</v>
      </c>
      <c r="AR276" s="72">
        <f t="shared" si="120"/>
        <v>3010812.3387655835</v>
      </c>
      <c r="AS276" s="72">
        <f t="shared" si="121"/>
        <v>3010812.3387655835</v>
      </c>
      <c r="AT276" s="72">
        <f>IFERROR(IFERROR(INDEX('2023 IP UPL Data'!L:L,MATCH(A:A,'2023 IP UPL Data'!B:B,0)),INDEX('2023 IMD UPL Data'!I:I,MATCH(A:A,'2023 IMD UPL Data'!B:B,0))),0)</f>
        <v>7135826.5524861887</v>
      </c>
      <c r="AU276" s="72">
        <f>IFERROR(IF(F274="IMD",0,INDEX('2023 OP UPL Data'!J:J,MATCH(A:A,'2023 OP UPL Data'!B:B,0))),0)</f>
        <v>2206708.0386740323</v>
      </c>
      <c r="AV276" s="45">
        <f t="shared" si="122"/>
        <v>9342534.591160221</v>
      </c>
      <c r="AW276" s="72">
        <f>IFERROR(IFERROR(INDEX('2023 IP UPL Data'!M:M,MATCH(A:A,'2023 IP UPL Data'!B:B,0)),INDEX('2023 IMD UPL Data'!K:K,MATCH(A:A,'2023 IMD UPL Data'!B:B,0))),0)</f>
        <v>13851307.630000001</v>
      </c>
      <c r="AX276" s="72">
        <f>IFERROR(IF(F274="IMD",0,INDEX('2023 OP UPL Data'!L:L,MATCH(A:A,'2023 OP UPL Data'!B:B,0))),0)</f>
        <v>7831753.0499999998</v>
      </c>
      <c r="AY276" s="45">
        <f t="shared" si="123"/>
        <v>21683060.68</v>
      </c>
      <c r="AZ276" s="72">
        <v>15142334.079541208</v>
      </c>
      <c r="BA276" s="72">
        <v>9039231.5927886274</v>
      </c>
      <c r="BB276" s="72">
        <f t="shared" si="124"/>
        <v>11552018.541752314</v>
      </c>
      <c r="BC276" s="72">
        <f t="shared" si="124"/>
        <v>2326295.6402335828</v>
      </c>
      <c r="BD276" s="72">
        <f t="shared" si="125"/>
        <v>13878314.181985896</v>
      </c>
      <c r="BE276" s="94">
        <f t="shared" si="126"/>
        <v>1291026.4495412074</v>
      </c>
      <c r="BF276" s="94">
        <f t="shared" si="126"/>
        <v>1207478.5427886276</v>
      </c>
      <c r="BG276" s="73">
        <f>IFERROR(INDEX('2023 IP UPL Data'!K:K,MATCH(A276,'2023 IP UPL Data'!B:B,0)),0)</f>
        <v>0</v>
      </c>
    </row>
    <row r="277" spans="1:59">
      <c r="A277" s="124" t="s">
        <v>683</v>
      </c>
      <c r="B277" s="149" t="s">
        <v>683</v>
      </c>
      <c r="C277" s="31" t="s">
        <v>684</v>
      </c>
      <c r="D277" s="181" t="s">
        <v>684</v>
      </c>
      <c r="E277" s="144" t="s">
        <v>3355</v>
      </c>
      <c r="F277" s="120" t="s">
        <v>2768</v>
      </c>
      <c r="G277" s="120" t="s">
        <v>1530</v>
      </c>
      <c r="H277" s="43" t="str">
        <f t="shared" si="106"/>
        <v>Rural Lubbock</v>
      </c>
      <c r="I277" s="45">
        <f>INDEX(FeeCalc!M:M,MATCH(C:C,FeeCalc!F:F,0))</f>
        <v>641033.98499402474</v>
      </c>
      <c r="J277" s="45">
        <f>INDEX(FeeCalc!L:L,MATCH(C:C,FeeCalc!F:F,0))</f>
        <v>1741374.0347377392</v>
      </c>
      <c r="K277" s="45">
        <f t="shared" si="107"/>
        <v>2382408.0197317638</v>
      </c>
      <c r="L277" s="45">
        <f>IFERROR(IFERROR(INDEX('2023 IP UPL Data'!N:N,MATCH(A:A,'2023 IP UPL Data'!B:B,0)),INDEX('2023 IMD UPL Data'!M:M,MATCH(A:A,'2023 IMD UPL Data'!B:B,0))),0)</f>
        <v>329361.84192150133</v>
      </c>
      <c r="M277" s="45">
        <f>IFERROR((IF(F277="IMD",0,INDEX('2023 OP UPL Data'!M:M,MATCH(A:A,'2023 OP UPL Data'!B:B,0)))),0)</f>
        <v>90061.476089385571</v>
      </c>
      <c r="N277" s="45">
        <f t="shared" si="108"/>
        <v>419423.3180108869</v>
      </c>
      <c r="O277" s="45">
        <v>-26929.959462683881</v>
      </c>
      <c r="P277" s="45">
        <v>465577.11790094303</v>
      </c>
      <c r="Q277" s="45">
        <f t="shared" si="109"/>
        <v>438647.15843825915</v>
      </c>
      <c r="R277" s="45" t="str">
        <f t="shared" si="110"/>
        <v>No</v>
      </c>
      <c r="S277" s="46" t="str">
        <f t="shared" si="110"/>
        <v>Yes</v>
      </c>
      <c r="T277" s="47">
        <f>ROUND(INDEX(Summary!H:H,MATCH(H:H,Summary!A:A,0)),2)</f>
        <v>0.32</v>
      </c>
      <c r="U277" s="47">
        <f>ROUND(INDEX(Summary!I:I,MATCH(H:H,Summary!A:A,0)),2)</f>
        <v>0.36</v>
      </c>
      <c r="V277" s="85">
        <f t="shared" si="111"/>
        <v>205130.87519808792</v>
      </c>
      <c r="W277" s="85">
        <f t="shared" si="111"/>
        <v>626894.65250558616</v>
      </c>
      <c r="X277" s="45">
        <f t="shared" si="112"/>
        <v>832025.52770367404</v>
      </c>
      <c r="Y277" s="45" t="s">
        <v>3223</v>
      </c>
      <c r="Z277" s="45" t="str">
        <f t="shared" si="113"/>
        <v>No</v>
      </c>
      <c r="AA277" s="45" t="str">
        <f t="shared" si="113"/>
        <v>No</v>
      </c>
      <c r="AB277" s="45" t="str">
        <f t="shared" si="114"/>
        <v>No</v>
      </c>
      <c r="AC277" s="86">
        <f t="shared" si="127"/>
        <v>0</v>
      </c>
      <c r="AD277" s="86">
        <f t="shared" si="128"/>
        <v>0</v>
      </c>
      <c r="AE277" s="45">
        <f t="shared" si="129"/>
        <v>0</v>
      </c>
      <c r="AF277" s="45">
        <f t="shared" si="129"/>
        <v>0</v>
      </c>
      <c r="AG277" s="45">
        <f t="shared" si="115"/>
        <v>0</v>
      </c>
      <c r="AH277" s="47">
        <f>IF(Y277="No",0,IFERROR(ROUNDDOWN(INDEX('90% of ACR'!K:K,MATCH(H:H,'90% of ACR'!A:A,0))*IF(I277&gt;0,IF(O277&gt;0,$R$4*MAX(O277-V277,0),0),0)/I277,2),0))</f>
        <v>0</v>
      </c>
      <c r="AI277" s="86">
        <f>IF(Y277="No",0,IFERROR(ROUNDDOWN(INDEX('90% of ACR'!R:R,MATCH(H:H,'90% of ACR'!A:A,0))*IF(J277&gt;0,IF(P277&gt;0,$R$4*MAX(P277-W277,0),0),0)/J277,2),0))</f>
        <v>0</v>
      </c>
      <c r="AJ277" s="45">
        <f t="shared" si="116"/>
        <v>0</v>
      </c>
      <c r="AK277" s="45">
        <f t="shared" si="116"/>
        <v>0</v>
      </c>
      <c r="AL277" s="47">
        <f t="shared" si="117"/>
        <v>0.32</v>
      </c>
      <c r="AM277" s="47">
        <f t="shared" si="117"/>
        <v>0.36</v>
      </c>
      <c r="AN277" s="87">
        <f>IFERROR(INDEX(FeeCalc!P:P,MATCH(C277,FeeCalc!F:F,0)),0)</f>
        <v>832025.52770367404</v>
      </c>
      <c r="AO277" s="87">
        <f>IFERROR(INDEX(FeeCalc!S:S,MATCH(C277,FeeCalc!F:F,0)),0)</f>
        <v>50891.378088478348</v>
      </c>
      <c r="AP277" s="87">
        <f t="shared" si="118"/>
        <v>882916.90579215239</v>
      </c>
      <c r="AQ277" s="72">
        <f t="shared" si="119"/>
        <v>374649.89646859566</v>
      </c>
      <c r="AR277" s="72">
        <f t="shared" si="120"/>
        <v>187324.94823429783</v>
      </c>
      <c r="AS277" s="72">
        <f t="shared" si="121"/>
        <v>187324.94823429783</v>
      </c>
      <c r="AT277" s="72">
        <f>IFERROR(IFERROR(INDEX('2023 IP UPL Data'!L:L,MATCH(A:A,'2023 IP UPL Data'!B:B,0)),INDEX('2023 IMD UPL Data'!I:I,MATCH(A:A,'2023 IMD UPL Data'!B:B,0))),0)</f>
        <v>676517.17807849869</v>
      </c>
      <c r="AU277" s="72">
        <f>IFERROR(IF(F275="IMD",0,INDEX('2023 OP UPL Data'!J:J,MATCH(A:A,'2023 OP UPL Data'!B:B,0))),0)</f>
        <v>929623.8639106144</v>
      </c>
      <c r="AV277" s="45">
        <f t="shared" si="122"/>
        <v>1606141.0419891132</v>
      </c>
      <c r="AW277" s="72">
        <f>IFERROR(IFERROR(INDEX('2023 IP UPL Data'!M:M,MATCH(A:A,'2023 IP UPL Data'!B:B,0)),INDEX('2023 IMD UPL Data'!K:K,MATCH(A:A,'2023 IMD UPL Data'!B:B,0))),0)</f>
        <v>1005879.02</v>
      </c>
      <c r="AX277" s="72">
        <f>IFERROR(IF(F275="IMD",0,INDEX('2023 OP UPL Data'!L:L,MATCH(A:A,'2023 OP UPL Data'!B:B,0))),0)</f>
        <v>1019685.34</v>
      </c>
      <c r="AY277" s="45">
        <f t="shared" si="123"/>
        <v>2025564.3599999999</v>
      </c>
      <c r="AZ277" s="72">
        <v>649587.21861581481</v>
      </c>
      <c r="BA277" s="72">
        <v>1395200.9818115574</v>
      </c>
      <c r="BB277" s="72">
        <f t="shared" si="124"/>
        <v>444456.34341772692</v>
      </c>
      <c r="BC277" s="72">
        <f t="shared" si="124"/>
        <v>768306.32930597127</v>
      </c>
      <c r="BD277" s="72">
        <f t="shared" si="125"/>
        <v>1212762.6727236982</v>
      </c>
      <c r="BE277" s="94">
        <f t="shared" si="126"/>
        <v>0</v>
      </c>
      <c r="BF277" s="94">
        <f t="shared" si="126"/>
        <v>375515.64181155746</v>
      </c>
      <c r="BG277" s="73">
        <f>IFERROR(INDEX('2023 IP UPL Data'!K:K,MATCH(A277,'2023 IP UPL Data'!B:B,0)),0)</f>
        <v>0</v>
      </c>
    </row>
    <row r="278" spans="1:59" ht="25.5">
      <c r="A278" s="124" t="s">
        <v>1334</v>
      </c>
      <c r="B278" s="149" t="s">
        <v>1334</v>
      </c>
      <c r="C278" s="31" t="s">
        <v>1335</v>
      </c>
      <c r="D278" s="181" t="s">
        <v>1335</v>
      </c>
      <c r="E278" s="144" t="s">
        <v>3539</v>
      </c>
      <c r="F278" s="120" t="s">
        <v>3069</v>
      </c>
      <c r="G278" s="120" t="s">
        <v>300</v>
      </c>
      <c r="H278" s="43" t="str">
        <f t="shared" si="106"/>
        <v>Non-state-owned IMD Harris</v>
      </c>
      <c r="I278" s="45">
        <f>INDEX(FeeCalc!M:M,MATCH(C:C,FeeCalc!F:F,0))</f>
        <v>3345431.0039696363</v>
      </c>
      <c r="J278" s="45">
        <f>INDEX(FeeCalc!L:L,MATCH(C:C,FeeCalc!F:F,0))</f>
        <v>0</v>
      </c>
      <c r="K278" s="45">
        <f t="shared" si="107"/>
        <v>3345431.0039696363</v>
      </c>
      <c r="L278" s="45">
        <f>IFERROR(IFERROR(INDEX('2023 IP UPL Data'!N:N,MATCH(A:A,'2023 IP UPL Data'!B:B,0)),INDEX('2023 IMD UPL Data'!M:M,MATCH(A:A,'2023 IMD UPL Data'!B:B,0))),0)</f>
        <v>1936036.86</v>
      </c>
      <c r="M278" s="45">
        <f>IFERROR((IF(F278="IMD",0,INDEX('2023 OP UPL Data'!M:M,MATCH(A:A,'2023 OP UPL Data'!B:B,0)))),0)</f>
        <v>0</v>
      </c>
      <c r="N278" s="45">
        <f t="shared" si="108"/>
        <v>1936036.86</v>
      </c>
      <c r="O278" s="45">
        <v>1797853.2975665806</v>
      </c>
      <c r="P278" s="45">
        <v>0</v>
      </c>
      <c r="Q278" s="45">
        <f t="shared" si="109"/>
        <v>1797853.2975665806</v>
      </c>
      <c r="R278" s="45" t="str">
        <f t="shared" si="110"/>
        <v>Yes</v>
      </c>
      <c r="S278" s="46" t="str">
        <f t="shared" si="110"/>
        <v>No</v>
      </c>
      <c r="T278" s="47">
        <f>ROUND(INDEX(Summary!H:H,MATCH(H:H,Summary!A:A,0)),2)</f>
        <v>0.44</v>
      </c>
      <c r="U278" s="47">
        <f>ROUND(INDEX(Summary!I:I,MATCH(H:H,Summary!A:A,0)),2)</f>
        <v>0</v>
      </c>
      <c r="V278" s="85">
        <f t="shared" si="111"/>
        <v>1471989.64174664</v>
      </c>
      <c r="W278" s="85">
        <f t="shared" si="111"/>
        <v>0</v>
      </c>
      <c r="X278" s="45">
        <f t="shared" si="112"/>
        <v>1471989.64174664</v>
      </c>
      <c r="Y278" s="45" t="s">
        <v>3223</v>
      </c>
      <c r="Z278" s="45" t="str">
        <f t="shared" si="113"/>
        <v>No</v>
      </c>
      <c r="AA278" s="45" t="str">
        <f t="shared" si="113"/>
        <v>No</v>
      </c>
      <c r="AB278" s="45" t="str">
        <f t="shared" si="114"/>
        <v>Yes</v>
      </c>
      <c r="AC278" s="86">
        <f t="shared" si="127"/>
        <v>7.0000000000000007E-2</v>
      </c>
      <c r="AD278" s="86">
        <f t="shared" si="128"/>
        <v>0</v>
      </c>
      <c r="AE278" s="45">
        <f t="shared" si="129"/>
        <v>234180.17027787457</v>
      </c>
      <c r="AF278" s="45">
        <f t="shared" si="129"/>
        <v>0</v>
      </c>
      <c r="AG278" s="45">
        <f t="shared" si="115"/>
        <v>234180.17027787457</v>
      </c>
      <c r="AH278" s="47">
        <f>IF(Y278="No",0,IFERROR(ROUNDDOWN(INDEX('90% of ACR'!K:K,MATCH(H:H,'90% of ACR'!A:A,0))*IF(I278&gt;0,IF(O278&gt;0,$R$4*MAX(O278-V278,0),0),0)/I278,2),0))</f>
        <v>0</v>
      </c>
      <c r="AI278" s="86">
        <f>IF(Y278="No",0,IFERROR(ROUNDDOWN(INDEX('90% of ACR'!R:R,MATCH(H:H,'90% of ACR'!A:A,0))*IF(J278&gt;0,IF(P278&gt;0,$R$4*MAX(P278-W278,0),0),0)/J278,2),0))</f>
        <v>0</v>
      </c>
      <c r="AJ278" s="45">
        <f t="shared" si="116"/>
        <v>0</v>
      </c>
      <c r="AK278" s="45">
        <f t="shared" si="116"/>
        <v>0</v>
      </c>
      <c r="AL278" s="47">
        <f t="shared" si="117"/>
        <v>0.44</v>
      </c>
      <c r="AM278" s="47">
        <f t="shared" si="117"/>
        <v>0</v>
      </c>
      <c r="AN278" s="87">
        <f>IFERROR(INDEX(FeeCalc!P:P,MATCH(C278,FeeCalc!F:F,0)),0)</f>
        <v>1471989.64174664</v>
      </c>
      <c r="AO278" s="87">
        <f>IFERROR(INDEX(FeeCalc!S:S,MATCH(C278,FeeCalc!F:F,0)),0)</f>
        <v>89803.081591970084</v>
      </c>
      <c r="AP278" s="87">
        <f t="shared" si="118"/>
        <v>1561792.72333861</v>
      </c>
      <c r="AQ278" s="72">
        <f t="shared" si="119"/>
        <v>662718.62987971923</v>
      </c>
      <c r="AR278" s="72">
        <f t="shared" si="120"/>
        <v>331359.31493985961</v>
      </c>
      <c r="AS278" s="72">
        <f t="shared" si="121"/>
        <v>331359.31493985961</v>
      </c>
      <c r="AT278" s="72">
        <f>IFERROR(IFERROR(INDEX('2023 IP UPL Data'!L:L,MATCH(A:A,'2023 IP UPL Data'!B:B,0)),INDEX('2023 IMD UPL Data'!I:I,MATCH(A:A,'2023 IMD UPL Data'!B:B,0))),0)</f>
        <v>2764364.62</v>
      </c>
      <c r="AU278" s="72">
        <f>IFERROR(IF(F276="IMD",0,INDEX('2023 OP UPL Data'!J:J,MATCH(A:A,'2023 OP UPL Data'!B:B,0))),0)</f>
        <v>0</v>
      </c>
      <c r="AV278" s="45">
        <f t="shared" si="122"/>
        <v>2764364.62</v>
      </c>
      <c r="AW278" s="72">
        <f>IFERROR(IFERROR(INDEX('2023 IP UPL Data'!M:M,MATCH(A:A,'2023 IP UPL Data'!B:B,0)),INDEX('2023 IMD UPL Data'!K:K,MATCH(A:A,'2023 IMD UPL Data'!B:B,0))),0)</f>
        <v>1936036.86</v>
      </c>
      <c r="AX278" s="72">
        <f>IFERROR(IF(F276="IMD",0,INDEX('2023 OP UPL Data'!L:L,MATCH(A:A,'2023 OP UPL Data'!B:B,0))),0)</f>
        <v>0</v>
      </c>
      <c r="AY278" s="45">
        <f t="shared" si="123"/>
        <v>1936036.86</v>
      </c>
      <c r="AZ278" s="72">
        <v>4562217.9175665807</v>
      </c>
      <c r="BA278" s="72">
        <v>0</v>
      </c>
      <c r="BB278" s="72">
        <f t="shared" si="124"/>
        <v>3090228.2758199405</v>
      </c>
      <c r="BC278" s="72">
        <f t="shared" si="124"/>
        <v>0</v>
      </c>
      <c r="BD278" s="72">
        <f t="shared" si="125"/>
        <v>3090228.2758199405</v>
      </c>
      <c r="BE278" s="94">
        <f t="shared" si="126"/>
        <v>2626181.0575665804</v>
      </c>
      <c r="BF278" s="94">
        <f t="shared" si="126"/>
        <v>0</v>
      </c>
      <c r="BG278" s="73">
        <f>IFERROR(INDEX('2023 IP UPL Data'!K:K,MATCH(A278,'2023 IP UPL Data'!B:B,0)),0)</f>
        <v>0</v>
      </c>
    </row>
    <row r="279" spans="1:59">
      <c r="A279" s="124" t="s">
        <v>1319</v>
      </c>
      <c r="B279" s="149" t="s">
        <v>1319</v>
      </c>
      <c r="C279" s="31" t="s">
        <v>1320</v>
      </c>
      <c r="D279" s="181" t="s">
        <v>1320</v>
      </c>
      <c r="E279" s="144" t="s">
        <v>3092</v>
      </c>
      <c r="F279" s="120" t="s">
        <v>2718</v>
      </c>
      <c r="G279" s="120" t="s">
        <v>1517</v>
      </c>
      <c r="H279" s="43" t="str">
        <f t="shared" si="106"/>
        <v>Urban Hidalgo</v>
      </c>
      <c r="I279" s="45">
        <f>INDEX(FeeCalc!M:M,MATCH(C:C,FeeCalc!F:F,0))</f>
        <v>41551928.318878822</v>
      </c>
      <c r="J279" s="45">
        <f>INDEX(FeeCalc!L:L,MATCH(C:C,FeeCalc!F:F,0))</f>
        <v>17037557.648213238</v>
      </c>
      <c r="K279" s="45">
        <f t="shared" si="107"/>
        <v>58589485.96709206</v>
      </c>
      <c r="L279" s="45">
        <f>IFERROR(IFERROR(INDEX('2023 IP UPL Data'!N:N,MATCH(A:A,'2023 IP UPL Data'!B:B,0)),INDEX('2023 IMD UPL Data'!M:M,MATCH(A:A,'2023 IMD UPL Data'!B:B,0))),0)</f>
        <v>57737183.844437875</v>
      </c>
      <c r="M279" s="45">
        <f>IFERROR((IF(F279="IMD",0,INDEX('2023 OP UPL Data'!M:M,MATCH(A:A,'2023 OP UPL Data'!B:B,0)))),0)</f>
        <v>14837872.932070993</v>
      </c>
      <c r="N279" s="45">
        <f t="shared" si="108"/>
        <v>72575056.776508868</v>
      </c>
      <c r="O279" s="45">
        <v>56281595.772540815</v>
      </c>
      <c r="P279" s="45">
        <v>10734371.476428475</v>
      </c>
      <c r="Q279" s="45">
        <f t="shared" si="109"/>
        <v>67015967.248969287</v>
      </c>
      <c r="R279" s="45" t="str">
        <f t="shared" si="110"/>
        <v>Yes</v>
      </c>
      <c r="S279" s="46" t="str">
        <f t="shared" si="110"/>
        <v>Yes</v>
      </c>
      <c r="T279" s="47">
        <f>ROUND(INDEX(Summary!H:H,MATCH(H:H,Summary!A:A,0)),2)</f>
        <v>1.21</v>
      </c>
      <c r="U279" s="47">
        <f>ROUND(INDEX(Summary!I:I,MATCH(H:H,Summary!A:A,0)),2)</f>
        <v>0.94</v>
      </c>
      <c r="V279" s="85">
        <f t="shared" si="111"/>
        <v>50277833.265843377</v>
      </c>
      <c r="W279" s="85">
        <f t="shared" si="111"/>
        <v>16015304.189320443</v>
      </c>
      <c r="X279" s="45">
        <f t="shared" si="112"/>
        <v>66293137.455163822</v>
      </c>
      <c r="Y279" s="45" t="s">
        <v>3223</v>
      </c>
      <c r="Z279" s="45" t="str">
        <f t="shared" si="113"/>
        <v>Yes</v>
      </c>
      <c r="AA279" s="45" t="str">
        <f t="shared" si="113"/>
        <v>No</v>
      </c>
      <c r="AB279" s="45" t="str">
        <f t="shared" si="114"/>
        <v>Yes</v>
      </c>
      <c r="AC279" s="86">
        <f t="shared" si="127"/>
        <v>0.1</v>
      </c>
      <c r="AD279" s="86">
        <f t="shared" si="128"/>
        <v>0</v>
      </c>
      <c r="AE279" s="45">
        <f t="shared" si="129"/>
        <v>4155192.8318878822</v>
      </c>
      <c r="AF279" s="45">
        <f t="shared" si="129"/>
        <v>0</v>
      </c>
      <c r="AG279" s="45">
        <f t="shared" si="115"/>
        <v>4155192.8318878822</v>
      </c>
      <c r="AH279" s="47">
        <f>IF(Y279="No",0,IFERROR(ROUNDDOWN(INDEX('90% of ACR'!K:K,MATCH(H:H,'90% of ACR'!A:A,0))*IF(I279&gt;0,IF(O279&gt;0,$R$4*MAX(O279-V279,0),0),0)/I279,2),0))</f>
        <v>0.09</v>
      </c>
      <c r="AI279" s="86">
        <f>IF(Y279="No",0,IFERROR(ROUNDDOWN(INDEX('90% of ACR'!R:R,MATCH(H:H,'90% of ACR'!A:A,0))*IF(J279&gt;0,IF(P279&gt;0,$R$4*MAX(P279-W279,0),0),0)/J279,2),0))</f>
        <v>0</v>
      </c>
      <c r="AJ279" s="45">
        <f t="shared" si="116"/>
        <v>3739673.548699094</v>
      </c>
      <c r="AK279" s="45">
        <f t="shared" si="116"/>
        <v>0</v>
      </c>
      <c r="AL279" s="47">
        <f t="shared" si="117"/>
        <v>1.3</v>
      </c>
      <c r="AM279" s="47">
        <f t="shared" si="117"/>
        <v>0.94</v>
      </c>
      <c r="AN279" s="87">
        <f>IFERROR(INDEX(FeeCalc!P:P,MATCH(C279,FeeCalc!F:F,0)),0)</f>
        <v>70032811.003862917</v>
      </c>
      <c r="AO279" s="87">
        <f>IFERROR(INDEX(FeeCalc!S:S,MATCH(C279,FeeCalc!F:F,0)),0)</f>
        <v>4311272.4431756381</v>
      </c>
      <c r="AP279" s="87">
        <f t="shared" si="118"/>
        <v>74344083.447038561</v>
      </c>
      <c r="AQ279" s="72">
        <f t="shared" si="119"/>
        <v>31546573.61724877</v>
      </c>
      <c r="AR279" s="72">
        <f t="shared" si="120"/>
        <v>15773286.808624385</v>
      </c>
      <c r="AS279" s="72">
        <f t="shared" si="121"/>
        <v>15773286.808624385</v>
      </c>
      <c r="AT279" s="72">
        <f>IFERROR(IFERROR(INDEX('2023 IP UPL Data'!L:L,MATCH(A:A,'2023 IP UPL Data'!B:B,0)),INDEX('2023 IMD UPL Data'!I:I,MATCH(A:A,'2023 IMD UPL Data'!B:B,0))),0)</f>
        <v>36544303.745562129</v>
      </c>
      <c r="AU279" s="72">
        <f>IFERROR(IF(F277="IMD",0,INDEX('2023 OP UPL Data'!J:J,MATCH(A:A,'2023 OP UPL Data'!B:B,0))),0)</f>
        <v>8387776.1479290063</v>
      </c>
      <c r="AV279" s="45">
        <f t="shared" si="122"/>
        <v>44932079.893491134</v>
      </c>
      <c r="AW279" s="72">
        <f>IFERROR(IFERROR(INDEX('2023 IP UPL Data'!M:M,MATCH(A:A,'2023 IP UPL Data'!B:B,0)),INDEX('2023 IMD UPL Data'!K:K,MATCH(A:A,'2023 IMD UPL Data'!B:B,0))),0)</f>
        <v>94281487.590000004</v>
      </c>
      <c r="AX279" s="72">
        <f>IFERROR(IF(F277="IMD",0,INDEX('2023 OP UPL Data'!L:L,MATCH(A:A,'2023 OP UPL Data'!B:B,0))),0)</f>
        <v>23225649.079999998</v>
      </c>
      <c r="AY279" s="45">
        <f t="shared" si="123"/>
        <v>117507136.67</v>
      </c>
      <c r="AZ279" s="72">
        <v>92825899.518102944</v>
      </c>
      <c r="BA279" s="72">
        <v>19122147.624357481</v>
      </c>
      <c r="BB279" s="72">
        <f t="shared" si="124"/>
        <v>42548066.252259567</v>
      </c>
      <c r="BC279" s="72">
        <f t="shared" si="124"/>
        <v>3106843.4350370374</v>
      </c>
      <c r="BD279" s="72">
        <f t="shared" si="125"/>
        <v>45654909.687296599</v>
      </c>
      <c r="BE279" s="94">
        <f t="shared" si="126"/>
        <v>0</v>
      </c>
      <c r="BF279" s="94">
        <f t="shared" si="126"/>
        <v>0</v>
      </c>
      <c r="BG279" s="73">
        <f>IFERROR(INDEX('2023 IP UPL Data'!K:K,MATCH(A279,'2023 IP UPL Data'!B:B,0)),0)</f>
        <v>0</v>
      </c>
    </row>
    <row r="280" spans="1:59" ht="25.5">
      <c r="A280" s="124" t="s">
        <v>1331</v>
      </c>
      <c r="B280" s="149" t="s">
        <v>1331</v>
      </c>
      <c r="C280" s="31" t="s">
        <v>1332</v>
      </c>
      <c r="D280" s="181" t="s">
        <v>1332</v>
      </c>
      <c r="E280" s="144" t="s">
        <v>3540</v>
      </c>
      <c r="F280" s="120" t="s">
        <v>3069</v>
      </c>
      <c r="G280" s="120" t="s">
        <v>1517</v>
      </c>
      <c r="H280" s="43" t="str">
        <f t="shared" si="106"/>
        <v>Non-state-owned IMD Hidalgo</v>
      </c>
      <c r="I280" s="45">
        <f>INDEX(FeeCalc!M:M,MATCH(C:C,FeeCalc!F:F,0))</f>
        <v>1593072.8598933686</v>
      </c>
      <c r="J280" s="45">
        <f>INDEX(FeeCalc!L:L,MATCH(C:C,FeeCalc!F:F,0))</f>
        <v>0</v>
      </c>
      <c r="K280" s="45">
        <f t="shared" si="107"/>
        <v>1593072.8598933686</v>
      </c>
      <c r="L280" s="45">
        <f>IFERROR(IFERROR(INDEX('2023 IP UPL Data'!N:N,MATCH(A:A,'2023 IP UPL Data'!B:B,0)),INDEX('2023 IMD UPL Data'!M:M,MATCH(A:A,'2023 IMD UPL Data'!B:B,0))),0)</f>
        <v>367171.75</v>
      </c>
      <c r="M280" s="45">
        <f>IFERROR((IF(F280="IMD",0,INDEX('2023 OP UPL Data'!M:M,MATCH(A:A,'2023 OP UPL Data'!B:B,0)))),0)</f>
        <v>0</v>
      </c>
      <c r="N280" s="45">
        <f t="shared" si="108"/>
        <v>367171.75</v>
      </c>
      <c r="O280" s="45">
        <v>122464.0776505305</v>
      </c>
      <c r="P280" s="45">
        <v>0</v>
      </c>
      <c r="Q280" s="45">
        <f t="shared" si="109"/>
        <v>122464.0776505305</v>
      </c>
      <c r="R280" s="45" t="str">
        <f t="shared" si="110"/>
        <v>Yes</v>
      </c>
      <c r="S280" s="46" t="str">
        <f t="shared" si="110"/>
        <v>No</v>
      </c>
      <c r="T280" s="47">
        <f>ROUND(INDEX(Summary!H:H,MATCH(H:H,Summary!A:A,0)),2)</f>
        <v>0.23</v>
      </c>
      <c r="U280" s="47">
        <f>ROUND(INDEX(Summary!I:I,MATCH(H:H,Summary!A:A,0)),2)</f>
        <v>0</v>
      </c>
      <c r="V280" s="85">
        <f t="shared" si="111"/>
        <v>366406.75777547481</v>
      </c>
      <c r="W280" s="85">
        <f t="shared" si="111"/>
        <v>0</v>
      </c>
      <c r="X280" s="45">
        <f t="shared" si="112"/>
        <v>366406.75777547481</v>
      </c>
      <c r="Y280" s="45" t="s">
        <v>3223</v>
      </c>
      <c r="Z280" s="45" t="str">
        <f t="shared" si="113"/>
        <v>No</v>
      </c>
      <c r="AA280" s="45" t="str">
        <f t="shared" si="113"/>
        <v>No</v>
      </c>
      <c r="AB280" s="45" t="str">
        <f t="shared" si="114"/>
        <v>No</v>
      </c>
      <c r="AC280" s="86">
        <f t="shared" si="127"/>
        <v>0</v>
      </c>
      <c r="AD280" s="86">
        <f t="shared" si="128"/>
        <v>0</v>
      </c>
      <c r="AE280" s="45">
        <f t="shared" si="129"/>
        <v>0</v>
      </c>
      <c r="AF280" s="45">
        <f t="shared" si="129"/>
        <v>0</v>
      </c>
      <c r="AG280" s="45">
        <f t="shared" si="115"/>
        <v>0</v>
      </c>
      <c r="AH280" s="47">
        <f>IF(Y280="No",0,IFERROR(ROUNDDOWN(INDEX('90% of ACR'!K:K,MATCH(H:H,'90% of ACR'!A:A,0))*IF(I280&gt;0,IF(O280&gt;0,$R$4*MAX(O280-V280,0),0),0)/I280,2),0))</f>
        <v>0</v>
      </c>
      <c r="AI280" s="86">
        <f>IF(Y280="No",0,IFERROR(ROUNDDOWN(INDEX('90% of ACR'!R:R,MATCH(H:H,'90% of ACR'!A:A,0))*IF(J280&gt;0,IF(P280&gt;0,$R$4*MAX(P280-W280,0),0),0)/J280,2),0))</f>
        <v>0</v>
      </c>
      <c r="AJ280" s="45">
        <f t="shared" si="116"/>
        <v>0</v>
      </c>
      <c r="AK280" s="45">
        <f t="shared" si="116"/>
        <v>0</v>
      </c>
      <c r="AL280" s="47">
        <f t="shared" si="117"/>
        <v>0.23</v>
      </c>
      <c r="AM280" s="47">
        <f t="shared" si="117"/>
        <v>0</v>
      </c>
      <c r="AN280" s="87">
        <f>IFERROR(INDEX(FeeCalc!P:P,MATCH(C280,FeeCalc!F:F,0)),0)</f>
        <v>366406.75777547481</v>
      </c>
      <c r="AO280" s="87">
        <f>IFERROR(INDEX(FeeCalc!S:S,MATCH(C280,FeeCalc!F:F,0)),0)</f>
        <v>22353.72792794674</v>
      </c>
      <c r="AP280" s="87">
        <f t="shared" si="118"/>
        <v>388760.48570342152</v>
      </c>
      <c r="AQ280" s="72">
        <f t="shared" si="119"/>
        <v>164963.5144195043</v>
      </c>
      <c r="AR280" s="72">
        <f t="shared" si="120"/>
        <v>82481.757209752148</v>
      </c>
      <c r="AS280" s="72">
        <f t="shared" si="121"/>
        <v>82481.757209752148</v>
      </c>
      <c r="AT280" s="72">
        <f>IFERROR(IFERROR(INDEX('2023 IP UPL Data'!L:L,MATCH(A:A,'2023 IP UPL Data'!B:B,0)),INDEX('2023 IMD UPL Data'!I:I,MATCH(A:A,'2023 IMD UPL Data'!B:B,0))),0)</f>
        <v>1238019.4099999999</v>
      </c>
      <c r="AU280" s="72">
        <f>IFERROR(IF(F278="IMD",0,INDEX('2023 OP UPL Data'!J:J,MATCH(A:A,'2023 OP UPL Data'!B:B,0))),0)</f>
        <v>0</v>
      </c>
      <c r="AV280" s="45">
        <f t="shared" si="122"/>
        <v>1238019.4099999999</v>
      </c>
      <c r="AW280" s="72">
        <f>IFERROR(IFERROR(INDEX('2023 IP UPL Data'!M:M,MATCH(A:A,'2023 IP UPL Data'!B:B,0)),INDEX('2023 IMD UPL Data'!K:K,MATCH(A:A,'2023 IMD UPL Data'!B:B,0))),0)</f>
        <v>367171.75</v>
      </c>
      <c r="AX280" s="72">
        <f>IFERROR(IF(F278="IMD",0,INDEX('2023 OP UPL Data'!L:L,MATCH(A:A,'2023 OP UPL Data'!B:B,0))),0)</f>
        <v>0</v>
      </c>
      <c r="AY280" s="45">
        <f t="shared" si="123"/>
        <v>367171.75</v>
      </c>
      <c r="AZ280" s="72">
        <v>1360483.4876505304</v>
      </c>
      <c r="BA280" s="72">
        <v>0</v>
      </c>
      <c r="BB280" s="72">
        <f t="shared" si="124"/>
        <v>994076.72987505561</v>
      </c>
      <c r="BC280" s="72">
        <f t="shared" si="124"/>
        <v>0</v>
      </c>
      <c r="BD280" s="72">
        <f t="shared" si="125"/>
        <v>994076.72987505561</v>
      </c>
      <c r="BE280" s="94">
        <f t="shared" si="126"/>
        <v>993311.73765053041</v>
      </c>
      <c r="BF280" s="94">
        <f t="shared" si="126"/>
        <v>0</v>
      </c>
      <c r="BG280" s="73">
        <f>IFERROR(INDEX('2023 IP UPL Data'!K:K,MATCH(A280,'2023 IP UPL Data'!B:B,0)),0)</f>
        <v>0</v>
      </c>
    </row>
    <row r="281" spans="1:59">
      <c r="A281" s="124" t="s">
        <v>701</v>
      </c>
      <c r="B281" s="149" t="s">
        <v>701</v>
      </c>
      <c r="C281" s="31" t="s">
        <v>702</v>
      </c>
      <c r="D281" s="181" t="s">
        <v>702</v>
      </c>
      <c r="E281" s="144" t="s">
        <v>3378</v>
      </c>
      <c r="F281" s="120" t="s">
        <v>2718</v>
      </c>
      <c r="G281" s="120" t="s">
        <v>1189</v>
      </c>
      <c r="H281" s="43" t="str">
        <f t="shared" si="106"/>
        <v>Urban El Paso</v>
      </c>
      <c r="I281" s="45">
        <f>INDEX(FeeCalc!M:M,MATCH(C:C,FeeCalc!F:F,0))</f>
        <v>10775062.506805006</v>
      </c>
      <c r="J281" s="45">
        <f>INDEX(FeeCalc!L:L,MATCH(C:C,FeeCalc!F:F,0))</f>
        <v>10683576.287788343</v>
      </c>
      <c r="K281" s="45">
        <f t="shared" si="107"/>
        <v>21458638.794593349</v>
      </c>
      <c r="L281" s="45">
        <f>IFERROR(IFERROR(INDEX('2023 IP UPL Data'!N:N,MATCH(A:A,'2023 IP UPL Data'!B:B,0)),INDEX('2023 IMD UPL Data'!M:M,MATCH(A:A,'2023 IMD UPL Data'!B:B,0))),0)</f>
        <v>-18184262.507105261</v>
      </c>
      <c r="M281" s="45">
        <f>IFERROR((IF(F281="IMD",0,INDEX('2023 OP UPL Data'!M:M,MATCH(A:A,'2023 OP UPL Data'!B:B,0)))),0)</f>
        <v>5014138.6131578945</v>
      </c>
      <c r="N281" s="45">
        <f t="shared" si="108"/>
        <v>-13170123.893947367</v>
      </c>
      <c r="O281" s="45">
        <v>-28344796.065726727</v>
      </c>
      <c r="P281" s="45">
        <v>8230158.9790170193</v>
      </c>
      <c r="Q281" s="45">
        <f t="shared" si="109"/>
        <v>-20114637.086709708</v>
      </c>
      <c r="R281" s="45" t="str">
        <f t="shared" si="110"/>
        <v>No</v>
      </c>
      <c r="S281" s="46" t="str">
        <f t="shared" si="110"/>
        <v>Yes</v>
      </c>
      <c r="T281" s="47">
        <f>ROUND(INDEX(Summary!H:H,MATCH(H:H,Summary!A:A,0)),2)</f>
        <v>0.48</v>
      </c>
      <c r="U281" s="47">
        <f>ROUND(INDEX(Summary!I:I,MATCH(H:H,Summary!A:A,0)),2)</f>
        <v>0.92</v>
      </c>
      <c r="V281" s="85">
        <f t="shared" si="111"/>
        <v>5172030.0032664025</v>
      </c>
      <c r="W281" s="85">
        <f t="shared" si="111"/>
        <v>9828890.1847652756</v>
      </c>
      <c r="X281" s="45">
        <f t="shared" si="112"/>
        <v>15000920.188031677</v>
      </c>
      <c r="Y281" s="45" t="s">
        <v>3223</v>
      </c>
      <c r="Z281" s="45" t="str">
        <f t="shared" si="113"/>
        <v>No</v>
      </c>
      <c r="AA281" s="45" t="str">
        <f t="shared" si="113"/>
        <v>No</v>
      </c>
      <c r="AB281" s="45" t="str">
        <f t="shared" si="114"/>
        <v>No</v>
      </c>
      <c r="AC281" s="86">
        <f t="shared" si="127"/>
        <v>0</v>
      </c>
      <c r="AD281" s="86">
        <f t="shared" si="128"/>
        <v>0</v>
      </c>
      <c r="AE281" s="45">
        <f t="shared" si="129"/>
        <v>0</v>
      </c>
      <c r="AF281" s="45">
        <f t="shared" si="129"/>
        <v>0</v>
      </c>
      <c r="AG281" s="45">
        <f t="shared" si="115"/>
        <v>0</v>
      </c>
      <c r="AH281" s="47">
        <f>IF(Y281="No",0,IFERROR(ROUNDDOWN(INDEX('90% of ACR'!K:K,MATCH(H:H,'90% of ACR'!A:A,0))*IF(I281&gt;0,IF(O281&gt;0,$R$4*MAX(O281-V281,0),0),0)/I281,2),0))</f>
        <v>0</v>
      </c>
      <c r="AI281" s="86">
        <f>IF(Y281="No",0,IFERROR(ROUNDDOWN(INDEX('90% of ACR'!R:R,MATCH(H:H,'90% of ACR'!A:A,0))*IF(J281&gt;0,IF(P281&gt;0,$R$4*MAX(P281-W281,0),0),0)/J281,2),0))</f>
        <v>0</v>
      </c>
      <c r="AJ281" s="45">
        <f t="shared" si="116"/>
        <v>0</v>
      </c>
      <c r="AK281" s="45">
        <f t="shared" si="116"/>
        <v>0</v>
      </c>
      <c r="AL281" s="47">
        <f t="shared" si="117"/>
        <v>0.48</v>
      </c>
      <c r="AM281" s="47">
        <f t="shared" si="117"/>
        <v>0.92</v>
      </c>
      <c r="AN281" s="87">
        <f>IFERROR(INDEX(FeeCalc!P:P,MATCH(C281,FeeCalc!F:F,0)),0)</f>
        <v>15000920.188031677</v>
      </c>
      <c r="AO281" s="87">
        <f>IFERROR(INDEX(FeeCalc!S:S,MATCH(C281,FeeCalc!F:F,0)),0)</f>
        <v>935056.90243161179</v>
      </c>
      <c r="AP281" s="87">
        <f t="shared" si="118"/>
        <v>15935977.090463288</v>
      </c>
      <c r="AQ281" s="72">
        <f t="shared" si="119"/>
        <v>6762145.0307504693</v>
      </c>
      <c r="AR281" s="72">
        <f t="shared" si="120"/>
        <v>3381072.5153752347</v>
      </c>
      <c r="AS281" s="72">
        <f t="shared" si="121"/>
        <v>3381072.5153752347</v>
      </c>
      <c r="AT281" s="72">
        <f>IFERROR(IFERROR(INDEX('2023 IP UPL Data'!L:L,MATCH(A:A,'2023 IP UPL Data'!B:B,0)),INDEX('2023 IMD UPL Data'!I:I,MATCH(A:A,'2023 IMD UPL Data'!B:B,0))),0)</f>
        <v>41970930.717105262</v>
      </c>
      <c r="AU281" s="72">
        <f>IFERROR(IF(F279="IMD",0,INDEX('2023 OP UPL Data'!J:J,MATCH(A:A,'2023 OP UPL Data'!B:B,0))),0)</f>
        <v>6871530.4868421052</v>
      </c>
      <c r="AV281" s="45">
        <f t="shared" si="122"/>
        <v>48842461.203947365</v>
      </c>
      <c r="AW281" s="72">
        <f>IFERROR(IFERROR(INDEX('2023 IP UPL Data'!M:M,MATCH(A:A,'2023 IP UPL Data'!B:B,0)),INDEX('2023 IMD UPL Data'!K:K,MATCH(A:A,'2023 IMD UPL Data'!B:B,0))),0)</f>
        <v>23786668.210000001</v>
      </c>
      <c r="AX281" s="72">
        <f>IFERROR(IF(F279="IMD",0,INDEX('2023 OP UPL Data'!L:L,MATCH(A:A,'2023 OP UPL Data'!B:B,0))),0)</f>
        <v>11885669.1</v>
      </c>
      <c r="AY281" s="45">
        <f t="shared" si="123"/>
        <v>35672337.310000002</v>
      </c>
      <c r="AZ281" s="72">
        <v>13626134.651378537</v>
      </c>
      <c r="BA281" s="72">
        <v>15101689.465859124</v>
      </c>
      <c r="BB281" s="72">
        <f t="shared" si="124"/>
        <v>8454104.6481121331</v>
      </c>
      <c r="BC281" s="72">
        <f t="shared" si="124"/>
        <v>5272799.2810938489</v>
      </c>
      <c r="BD281" s="72">
        <f t="shared" si="125"/>
        <v>13726903.929205984</v>
      </c>
      <c r="BE281" s="94">
        <f t="shared" si="126"/>
        <v>0</v>
      </c>
      <c r="BF281" s="94">
        <f t="shared" si="126"/>
        <v>3216020.3658591248</v>
      </c>
      <c r="BG281" s="73">
        <f>IFERROR(INDEX('2023 IP UPL Data'!K:K,MATCH(A281,'2023 IP UPL Data'!B:B,0)),0)</f>
        <v>34361194.25</v>
      </c>
    </row>
    <row r="282" spans="1:59">
      <c r="A282" s="207" t="s">
        <v>3759</v>
      </c>
      <c r="B282" s="207" t="s">
        <v>3759</v>
      </c>
      <c r="C282" s="124" t="s">
        <v>3590</v>
      </c>
      <c r="D282" s="181" t="s">
        <v>3590</v>
      </c>
      <c r="E282" s="144" t="s">
        <v>3541</v>
      </c>
      <c r="F282" s="120" t="s">
        <v>2768</v>
      </c>
      <c r="G282" s="120" t="s">
        <v>310</v>
      </c>
      <c r="H282" s="43" t="str">
        <f t="shared" si="106"/>
        <v>Rural MRSA Northeast</v>
      </c>
      <c r="I282" s="45">
        <f>INDEX(FeeCalc!M:M,MATCH(C:C,FeeCalc!F:F,0))</f>
        <v>1441812.7754416778</v>
      </c>
      <c r="J282" s="45">
        <f>INDEX(FeeCalc!L:L,MATCH(C:C,FeeCalc!F:F,0))</f>
        <v>747485.19522562274</v>
      </c>
      <c r="K282" s="45">
        <f t="shared" si="107"/>
        <v>2189297.9706673007</v>
      </c>
      <c r="L282" s="45">
        <f>IFERROR(IFERROR(INDEX('2023 IP UPL Data'!N:N,MATCH(A:A,'2023 IP UPL Data'!B:B,0)),INDEX('2023 IMD UPL Data'!M:M,MATCH(A:A,'2023 IMD UPL Data'!B:B,0))),0)</f>
        <v>-496551.70894326922</v>
      </c>
      <c r="M282" s="45">
        <f>IFERROR((IF(F282="IMD",0,INDEX('2023 OP UPL Data'!M:M,MATCH(A:A,'2023 OP UPL Data'!B:B,0)))),0)</f>
        <v>1016868.2435483872</v>
      </c>
      <c r="N282" s="45">
        <f t="shared" si="108"/>
        <v>520316.53460511798</v>
      </c>
      <c r="O282" s="45">
        <v>128533.86100221984</v>
      </c>
      <c r="P282" s="45">
        <v>1319417.3101077208</v>
      </c>
      <c r="Q282" s="45">
        <f t="shared" si="109"/>
        <v>1447951.1711099406</v>
      </c>
      <c r="R282" s="45" t="str">
        <f t="shared" si="110"/>
        <v>Yes</v>
      </c>
      <c r="S282" s="46" t="str">
        <f t="shared" si="110"/>
        <v>Yes</v>
      </c>
      <c r="T282" s="47">
        <f>ROUND(INDEX(Summary!H:H,MATCH(H:H,Summary!A:A,0)),2)</f>
        <v>0.16</v>
      </c>
      <c r="U282" s="47">
        <f>ROUND(INDEX(Summary!I:I,MATCH(H:H,Summary!A:A,0)),2)</f>
        <v>0.42</v>
      </c>
      <c r="V282" s="85">
        <f t="shared" si="111"/>
        <v>230690.04407066846</v>
      </c>
      <c r="W282" s="85">
        <f t="shared" si="111"/>
        <v>313943.78199476155</v>
      </c>
      <c r="X282" s="45">
        <f t="shared" si="112"/>
        <v>544633.82606542995</v>
      </c>
      <c r="Y282" s="45" t="s">
        <v>3223</v>
      </c>
      <c r="Z282" s="45" t="str">
        <f t="shared" si="113"/>
        <v>No</v>
      </c>
      <c r="AA282" s="45" t="str">
        <f t="shared" si="113"/>
        <v>Yes</v>
      </c>
      <c r="AB282" s="45" t="str">
        <f t="shared" si="114"/>
        <v>Yes</v>
      </c>
      <c r="AC282" s="86">
        <f t="shared" si="127"/>
        <v>0</v>
      </c>
      <c r="AD282" s="86">
        <f t="shared" si="128"/>
        <v>0.94</v>
      </c>
      <c r="AE282" s="45">
        <f t="shared" si="129"/>
        <v>0</v>
      </c>
      <c r="AF282" s="45">
        <f t="shared" si="129"/>
        <v>702636.08351208537</v>
      </c>
      <c r="AG282" s="45">
        <f t="shared" si="115"/>
        <v>702636.08351208537</v>
      </c>
      <c r="AH282" s="47">
        <f>IF(Y282="No",0,IFERROR(ROUNDDOWN(INDEX('90% of ACR'!K:K,MATCH(H:H,'90% of ACR'!A:A,0))*IF(I282&gt;0,IF(O282&gt;0,$R$4*MAX(O282-V282,0),0),0)/I282,2),0))</f>
        <v>0</v>
      </c>
      <c r="AI282" s="86">
        <f>IF(Y282="No",0,IFERROR(ROUNDDOWN(INDEX('90% of ACR'!R:R,MATCH(H:H,'90% of ACR'!A:A,0))*IF(J282&gt;0,IF(P282&gt;0,$R$4*MAX(P282-W282,0),0),0)/J282,2),0))</f>
        <v>0.93</v>
      </c>
      <c r="AJ282" s="45">
        <f t="shared" si="116"/>
        <v>0</v>
      </c>
      <c r="AK282" s="45">
        <f t="shared" si="116"/>
        <v>695161.2315598292</v>
      </c>
      <c r="AL282" s="47">
        <f t="shared" si="117"/>
        <v>0.16</v>
      </c>
      <c r="AM282" s="47">
        <f t="shared" si="117"/>
        <v>1.35</v>
      </c>
      <c r="AN282" s="87">
        <f>IFERROR(INDEX(FeeCalc!P:P,MATCH(C282,FeeCalc!F:F,0)),0)</f>
        <v>1239795.0576252593</v>
      </c>
      <c r="AO282" s="87">
        <f>IFERROR(INDEX(FeeCalc!S:S,MATCH(C282,FeeCalc!F:F,0)),0)</f>
        <v>77730.19667266676</v>
      </c>
      <c r="AP282" s="87">
        <f t="shared" si="118"/>
        <v>1317525.2542979261</v>
      </c>
      <c r="AQ282" s="72">
        <f t="shared" si="119"/>
        <v>559068.12620674761</v>
      </c>
      <c r="AR282" s="72">
        <f t="shared" si="120"/>
        <v>279534.0631033738</v>
      </c>
      <c r="AS282" s="72">
        <f t="shared" si="121"/>
        <v>279534.0631033738</v>
      </c>
      <c r="AT282" s="72">
        <f>IFERROR(IFERROR(INDEX('2023 IP UPL Data'!L:L,MATCH(A:A,'2023 IP UPL Data'!B:B,0)),INDEX('2023 IMD UPL Data'!I:I,MATCH(A:A,'2023 IMD UPL Data'!B:B,0))),0)</f>
        <v>4346847.1589432694</v>
      </c>
      <c r="AU282" s="72">
        <f>IFERROR(IF(F280="IMD",0,INDEX('2023 OP UPL Data'!J:J,MATCH(A:A,'2023 OP UPL Data'!B:B,0))),0)</f>
        <v>941303.07645161287</v>
      </c>
      <c r="AV282" s="45">
        <f t="shared" si="122"/>
        <v>5288150.235394882</v>
      </c>
      <c r="AW282" s="72">
        <f>IFERROR(IFERROR(INDEX('2023 IP UPL Data'!M:M,MATCH(A:A,'2023 IP UPL Data'!B:B,0)),INDEX('2023 IMD UPL Data'!K:K,MATCH(A:A,'2023 IMD UPL Data'!B:B,0))),0)</f>
        <v>3850295.45</v>
      </c>
      <c r="AX282" s="72">
        <f>IFERROR(IF(F280="IMD",0,INDEX('2023 OP UPL Data'!L:L,MATCH(A:A,'2023 OP UPL Data'!B:B,0))),0)</f>
        <v>1958171.32</v>
      </c>
      <c r="AY282" s="45">
        <f t="shared" si="123"/>
        <v>5808466.7700000005</v>
      </c>
      <c r="AZ282" s="72">
        <v>4475381.0199454892</v>
      </c>
      <c r="BA282" s="72">
        <v>2260720.3865593337</v>
      </c>
      <c r="BB282" s="72">
        <f t="shared" si="124"/>
        <v>4244690.9758748207</v>
      </c>
      <c r="BC282" s="72">
        <f t="shared" si="124"/>
        <v>1946776.6045645722</v>
      </c>
      <c r="BD282" s="72">
        <f t="shared" si="125"/>
        <v>6191467.5804393925</v>
      </c>
      <c r="BE282" s="94">
        <f t="shared" si="126"/>
        <v>625085.56994548906</v>
      </c>
      <c r="BF282" s="94">
        <f t="shared" si="126"/>
        <v>302549.06655933359</v>
      </c>
      <c r="BG282" s="73">
        <f>IFERROR(INDEX('2023 IP UPL Data'!K:K,MATCH(A282,'2023 IP UPL Data'!B:B,0)),0)</f>
        <v>0</v>
      </c>
    </row>
    <row r="283" spans="1:59">
      <c r="A283" s="124" t="s">
        <v>314</v>
      </c>
      <c r="B283" s="149" t="s">
        <v>314</v>
      </c>
      <c r="C283" s="31" t="s">
        <v>315</v>
      </c>
      <c r="D283" s="181" t="s">
        <v>315</v>
      </c>
      <c r="E283" s="144" t="s">
        <v>1786</v>
      </c>
      <c r="F283" s="120" t="s">
        <v>2768</v>
      </c>
      <c r="G283" s="120" t="s">
        <v>227</v>
      </c>
      <c r="H283" s="43" t="str">
        <f t="shared" si="106"/>
        <v>Rural MRSA West</v>
      </c>
      <c r="I283" s="45">
        <f>INDEX(FeeCalc!M:M,MATCH(C:C,FeeCalc!F:F,0))</f>
        <v>930200.55252528528</v>
      </c>
      <c r="J283" s="45">
        <f>INDEX(FeeCalc!L:L,MATCH(C:C,FeeCalc!F:F,0))</f>
        <v>661970.11606926052</v>
      </c>
      <c r="K283" s="45">
        <f t="shared" si="107"/>
        <v>1592170.6685945457</v>
      </c>
      <c r="L283" s="45">
        <f>IFERROR(IFERROR(INDEX('2023 IP UPL Data'!N:N,MATCH(A:A,'2023 IP UPL Data'!B:B,0)),INDEX('2023 IMD UPL Data'!M:M,MATCH(A:A,'2023 IMD UPL Data'!B:B,0))),0)</f>
        <v>-2984.6542011573911</v>
      </c>
      <c r="M283" s="45">
        <f>IFERROR((IF(F283="IMD",0,INDEX('2023 OP UPL Data'!M:M,MATCH(A:A,'2023 OP UPL Data'!B:B,0)))),0)</f>
        <v>92116.368750000023</v>
      </c>
      <c r="N283" s="45">
        <f t="shared" si="108"/>
        <v>89131.714548842632</v>
      </c>
      <c r="O283" s="45">
        <v>-300278.60346114723</v>
      </c>
      <c r="P283" s="45">
        <v>356363.23663698154</v>
      </c>
      <c r="Q283" s="45">
        <f t="shared" si="109"/>
        <v>56084.633175834315</v>
      </c>
      <c r="R283" s="45" t="str">
        <f t="shared" si="110"/>
        <v>No</v>
      </c>
      <c r="S283" s="46" t="str">
        <f t="shared" si="110"/>
        <v>Yes</v>
      </c>
      <c r="T283" s="47">
        <f>ROUND(INDEX(Summary!H:H,MATCH(H:H,Summary!A:A,0)),2)</f>
        <v>0</v>
      </c>
      <c r="U283" s="47">
        <f>ROUND(INDEX(Summary!I:I,MATCH(H:H,Summary!A:A,0)),2)</f>
        <v>0.28999999999999998</v>
      </c>
      <c r="V283" s="85">
        <f t="shared" si="111"/>
        <v>0</v>
      </c>
      <c r="W283" s="85">
        <f t="shared" si="111"/>
        <v>191971.33366008554</v>
      </c>
      <c r="X283" s="45">
        <f t="shared" si="112"/>
        <v>191971.33366008554</v>
      </c>
      <c r="Y283" s="45" t="s">
        <v>3223</v>
      </c>
      <c r="Z283" s="45" t="str">
        <f t="shared" si="113"/>
        <v>No</v>
      </c>
      <c r="AA283" s="45" t="str">
        <f t="shared" si="113"/>
        <v>Yes</v>
      </c>
      <c r="AB283" s="45" t="str">
        <f t="shared" si="114"/>
        <v>Yes</v>
      </c>
      <c r="AC283" s="86">
        <f t="shared" si="127"/>
        <v>0</v>
      </c>
      <c r="AD283" s="86">
        <f t="shared" si="128"/>
        <v>0.17</v>
      </c>
      <c r="AE283" s="45">
        <f t="shared" si="129"/>
        <v>0</v>
      </c>
      <c r="AF283" s="45">
        <f t="shared" si="129"/>
        <v>112534.91973177429</v>
      </c>
      <c r="AG283" s="45">
        <f t="shared" si="115"/>
        <v>112534.91973177429</v>
      </c>
      <c r="AH283" s="47">
        <f>IF(Y283="No",0,IFERROR(ROUNDDOWN(INDEX('90% of ACR'!K:K,MATCH(H:H,'90% of ACR'!A:A,0))*IF(I283&gt;0,IF(O283&gt;0,$R$4*MAX(O283-V283,0),0),0)/I283,2),0))</f>
        <v>0</v>
      </c>
      <c r="AI283" s="86">
        <f>IF(Y283="No",0,IFERROR(ROUNDDOWN(INDEX('90% of ACR'!R:R,MATCH(H:H,'90% of ACR'!A:A,0))*IF(J283&gt;0,IF(P283&gt;0,$R$4*MAX(P283-W283,0),0),0)/J283,2),0))</f>
        <v>0.17</v>
      </c>
      <c r="AJ283" s="45">
        <f t="shared" si="116"/>
        <v>0</v>
      </c>
      <c r="AK283" s="45">
        <f t="shared" si="116"/>
        <v>112534.91973177429</v>
      </c>
      <c r="AL283" s="47">
        <f t="shared" si="117"/>
        <v>0</v>
      </c>
      <c r="AM283" s="47">
        <f t="shared" si="117"/>
        <v>0.45999999999999996</v>
      </c>
      <c r="AN283" s="87">
        <f>IFERROR(INDEX(FeeCalc!P:P,MATCH(C283,FeeCalc!F:F,0)),0)</f>
        <v>304506.25339185982</v>
      </c>
      <c r="AO283" s="87">
        <f>IFERROR(INDEX(FeeCalc!S:S,MATCH(C283,FeeCalc!F:F,0)),0)</f>
        <v>18725.223218682913</v>
      </c>
      <c r="AP283" s="87">
        <f t="shared" si="118"/>
        <v>323231.47661054274</v>
      </c>
      <c r="AQ283" s="72">
        <f t="shared" si="119"/>
        <v>137157.45893310485</v>
      </c>
      <c r="AR283" s="72">
        <f t="shared" si="120"/>
        <v>68578.729466552424</v>
      </c>
      <c r="AS283" s="72">
        <f t="shared" si="121"/>
        <v>68578.729466552424</v>
      </c>
      <c r="AT283" s="72">
        <f>IFERROR(IFERROR(INDEX('2023 IP UPL Data'!L:L,MATCH(A:A,'2023 IP UPL Data'!B:B,0)),INDEX('2023 IMD UPL Data'!I:I,MATCH(A:A,'2023 IMD UPL Data'!B:B,0))),0)</f>
        <v>651654.76420115738</v>
      </c>
      <c r="AU283" s="72">
        <f>IFERROR(IF(F281="IMD",0,INDEX('2023 OP UPL Data'!J:J,MATCH(A:A,'2023 OP UPL Data'!B:B,0))),0)</f>
        <v>238237.21124999999</v>
      </c>
      <c r="AV283" s="45">
        <f t="shared" si="122"/>
        <v>889891.97545115743</v>
      </c>
      <c r="AW283" s="72">
        <f>IFERROR(IFERROR(INDEX('2023 IP UPL Data'!M:M,MATCH(A:A,'2023 IP UPL Data'!B:B,0)),INDEX('2023 IMD UPL Data'!K:K,MATCH(A:A,'2023 IMD UPL Data'!B:B,0))),0)</f>
        <v>648670.11</v>
      </c>
      <c r="AX283" s="72">
        <f>IFERROR(IF(F281="IMD",0,INDEX('2023 OP UPL Data'!L:L,MATCH(A:A,'2023 OP UPL Data'!B:B,0))),0)</f>
        <v>330353.58</v>
      </c>
      <c r="AY283" s="45">
        <f t="shared" si="123"/>
        <v>979023.69</v>
      </c>
      <c r="AZ283" s="72">
        <v>351376.16074001015</v>
      </c>
      <c r="BA283" s="72">
        <v>594600.44788698154</v>
      </c>
      <c r="BB283" s="72">
        <f t="shared" si="124"/>
        <v>351376.16074001015</v>
      </c>
      <c r="BC283" s="72">
        <f t="shared" si="124"/>
        <v>402629.11422689597</v>
      </c>
      <c r="BD283" s="72">
        <f t="shared" si="125"/>
        <v>754005.27496690617</v>
      </c>
      <c r="BE283" s="94">
        <f t="shared" si="126"/>
        <v>0</v>
      </c>
      <c r="BF283" s="94">
        <f t="shared" si="126"/>
        <v>264246.86788698152</v>
      </c>
      <c r="BG283" s="73">
        <f>IFERROR(INDEX('2023 IP UPL Data'!K:K,MATCH(A283,'2023 IP UPL Data'!B:B,0)),0)</f>
        <v>0</v>
      </c>
    </row>
    <row r="284" spans="1:59">
      <c r="A284" s="124" t="s">
        <v>692</v>
      </c>
      <c r="B284" s="149" t="s">
        <v>692</v>
      </c>
      <c r="C284" s="31" t="s">
        <v>693</v>
      </c>
      <c r="D284" s="181" t="s">
        <v>693</v>
      </c>
      <c r="E284" s="144" t="s">
        <v>2984</v>
      </c>
      <c r="F284" s="120" t="s">
        <v>2768</v>
      </c>
      <c r="G284" s="120" t="s">
        <v>227</v>
      </c>
      <c r="H284" s="43" t="str">
        <f t="shared" si="106"/>
        <v>Rural MRSA West</v>
      </c>
      <c r="I284" s="45">
        <f>INDEX(FeeCalc!M:M,MATCH(C:C,FeeCalc!F:F,0))</f>
        <v>213232.26558355367</v>
      </c>
      <c r="J284" s="45">
        <f>INDEX(FeeCalc!L:L,MATCH(C:C,FeeCalc!F:F,0))</f>
        <v>743964.20926912851</v>
      </c>
      <c r="K284" s="45">
        <f t="shared" si="107"/>
        <v>957196.47485268221</v>
      </c>
      <c r="L284" s="45">
        <f>IFERROR(IFERROR(INDEX('2023 IP UPL Data'!N:N,MATCH(A:A,'2023 IP UPL Data'!B:B,0)),INDEX('2023 IMD UPL Data'!M:M,MATCH(A:A,'2023 IMD UPL Data'!B:B,0))),0)</f>
        <v>40065.115715963708</v>
      </c>
      <c r="M284" s="45">
        <f>IFERROR((IF(F284="IMD",0,INDEX('2023 OP UPL Data'!M:M,MATCH(A:A,'2023 OP UPL Data'!B:B,0)))),0)</f>
        <v>457301.32800000004</v>
      </c>
      <c r="N284" s="45">
        <f t="shared" si="108"/>
        <v>497366.44371596375</v>
      </c>
      <c r="O284" s="45">
        <v>72673.731259893451</v>
      </c>
      <c r="P284" s="45">
        <v>301806.19503320119</v>
      </c>
      <c r="Q284" s="45">
        <f t="shared" si="109"/>
        <v>374479.92629309464</v>
      </c>
      <c r="R284" s="45" t="str">
        <f t="shared" si="110"/>
        <v>Yes</v>
      </c>
      <c r="S284" s="46" t="str">
        <f t="shared" si="110"/>
        <v>Yes</v>
      </c>
      <c r="T284" s="47">
        <f>ROUND(INDEX(Summary!H:H,MATCH(H:H,Summary!A:A,0)),2)</f>
        <v>0</v>
      </c>
      <c r="U284" s="47">
        <f>ROUND(INDEX(Summary!I:I,MATCH(H:H,Summary!A:A,0)),2)</f>
        <v>0.28999999999999998</v>
      </c>
      <c r="V284" s="85">
        <f t="shared" si="111"/>
        <v>0</v>
      </c>
      <c r="W284" s="85">
        <f t="shared" si="111"/>
        <v>215749.62068804726</v>
      </c>
      <c r="X284" s="45">
        <f t="shared" si="112"/>
        <v>215749.62068804726</v>
      </c>
      <c r="Y284" s="45" t="s">
        <v>3223</v>
      </c>
      <c r="Z284" s="45" t="str">
        <f t="shared" si="113"/>
        <v>No</v>
      </c>
      <c r="AA284" s="45" t="str">
        <f t="shared" si="113"/>
        <v>Yes</v>
      </c>
      <c r="AB284" s="45" t="str">
        <f t="shared" si="114"/>
        <v>Yes</v>
      </c>
      <c r="AC284" s="86">
        <f t="shared" si="127"/>
        <v>0.24</v>
      </c>
      <c r="AD284" s="86">
        <f t="shared" si="128"/>
        <v>0.08</v>
      </c>
      <c r="AE284" s="45">
        <f t="shared" si="129"/>
        <v>51175.74374005288</v>
      </c>
      <c r="AF284" s="45">
        <f t="shared" si="129"/>
        <v>59517.136741530281</v>
      </c>
      <c r="AG284" s="45">
        <f t="shared" si="115"/>
        <v>110692.88048158315</v>
      </c>
      <c r="AH284" s="47">
        <f>IF(Y284="No",0,IFERROR(ROUNDDOWN(INDEX('90% of ACR'!K:K,MATCH(H:H,'90% of ACR'!A:A,0))*IF(I284&gt;0,IF(O284&gt;0,$R$4*MAX(O284-V284,0),0),0)/I284,2),0))</f>
        <v>0</v>
      </c>
      <c r="AI284" s="86">
        <f>IF(Y284="No",0,IFERROR(ROUNDDOWN(INDEX('90% of ACR'!R:R,MATCH(H:H,'90% of ACR'!A:A,0))*IF(J284&gt;0,IF(P284&gt;0,$R$4*MAX(P284-W284,0),0),0)/J284,2),0))</f>
        <v>7.0000000000000007E-2</v>
      </c>
      <c r="AJ284" s="45">
        <f t="shared" si="116"/>
        <v>0</v>
      </c>
      <c r="AK284" s="45">
        <f t="shared" si="116"/>
        <v>52077.494648838998</v>
      </c>
      <c r="AL284" s="47">
        <f t="shared" si="117"/>
        <v>0</v>
      </c>
      <c r="AM284" s="47">
        <f t="shared" si="117"/>
        <v>0.36</v>
      </c>
      <c r="AN284" s="87">
        <f>IFERROR(INDEX(FeeCalc!P:P,MATCH(C284,FeeCalc!F:F,0)),0)</f>
        <v>267827.11533688626</v>
      </c>
      <c r="AO284" s="87">
        <f>IFERROR(INDEX(FeeCalc!S:S,MATCH(C284,FeeCalc!F:F,0)),0)</f>
        <v>16553.703666188194</v>
      </c>
      <c r="AP284" s="87">
        <f t="shared" si="118"/>
        <v>284380.81900307443</v>
      </c>
      <c r="AQ284" s="72">
        <f t="shared" si="119"/>
        <v>120671.88168921259</v>
      </c>
      <c r="AR284" s="72">
        <f t="shared" si="120"/>
        <v>60335.940844606295</v>
      </c>
      <c r="AS284" s="72">
        <f t="shared" si="121"/>
        <v>60335.940844606295</v>
      </c>
      <c r="AT284" s="72">
        <f>IFERROR(IFERROR(INDEX('2023 IP UPL Data'!L:L,MATCH(A:A,'2023 IP UPL Data'!B:B,0)),INDEX('2023 IMD UPL Data'!I:I,MATCH(A:A,'2023 IMD UPL Data'!B:B,0))),0)</f>
        <v>132630.6142840363</v>
      </c>
      <c r="AU284" s="72">
        <f>IFERROR(IF(F282="IMD",0,INDEX('2023 OP UPL Data'!J:J,MATCH(A:A,'2023 OP UPL Data'!B:B,0))),0)</f>
        <v>441544.66199999995</v>
      </c>
      <c r="AV284" s="45">
        <f t="shared" si="122"/>
        <v>574175.27628403623</v>
      </c>
      <c r="AW284" s="72">
        <f>IFERROR(IFERROR(INDEX('2023 IP UPL Data'!M:M,MATCH(A:A,'2023 IP UPL Data'!B:B,0)),INDEX('2023 IMD UPL Data'!K:K,MATCH(A:A,'2023 IMD UPL Data'!B:B,0))),0)</f>
        <v>172695.73</v>
      </c>
      <c r="AX284" s="72">
        <f>IFERROR(IF(F282="IMD",0,INDEX('2023 OP UPL Data'!L:L,MATCH(A:A,'2023 OP UPL Data'!B:B,0))),0)</f>
        <v>898845.99</v>
      </c>
      <c r="AY284" s="45">
        <f t="shared" si="123"/>
        <v>1071541.72</v>
      </c>
      <c r="AZ284" s="72">
        <v>205304.34554392975</v>
      </c>
      <c r="BA284" s="72">
        <v>743350.85703320114</v>
      </c>
      <c r="BB284" s="72">
        <f t="shared" si="124"/>
        <v>205304.34554392975</v>
      </c>
      <c r="BC284" s="72">
        <f t="shared" si="124"/>
        <v>527601.23634515388</v>
      </c>
      <c r="BD284" s="72">
        <f t="shared" si="125"/>
        <v>732905.58188908361</v>
      </c>
      <c r="BE284" s="94">
        <f t="shared" si="126"/>
        <v>32608.615543929744</v>
      </c>
      <c r="BF284" s="94">
        <f t="shared" si="126"/>
        <v>0</v>
      </c>
      <c r="BG284" s="73">
        <f>IFERROR(INDEX('2023 IP UPL Data'!K:K,MATCH(A284,'2023 IP UPL Data'!B:B,0)),0)</f>
        <v>0</v>
      </c>
    </row>
    <row r="285" spans="1:59">
      <c r="A285" s="124" t="s">
        <v>2765</v>
      </c>
      <c r="B285" s="149" t="s">
        <v>2765</v>
      </c>
      <c r="C285" s="31" t="s">
        <v>2359</v>
      </c>
      <c r="D285" s="181" t="s">
        <v>2359</v>
      </c>
      <c r="E285" s="144" t="s">
        <v>3367</v>
      </c>
      <c r="F285" s="120" t="s">
        <v>2768</v>
      </c>
      <c r="G285" s="120" t="s">
        <v>227</v>
      </c>
      <c r="H285" s="43" t="str">
        <f t="shared" si="106"/>
        <v>Rural MRSA West</v>
      </c>
      <c r="I285" s="45">
        <f>INDEX(FeeCalc!M:M,MATCH(C:C,FeeCalc!F:F,0))</f>
        <v>2535457.0806902507</v>
      </c>
      <c r="J285" s="45">
        <f>INDEX(FeeCalc!L:L,MATCH(C:C,FeeCalc!F:F,0))</f>
        <v>1550901.1410346972</v>
      </c>
      <c r="K285" s="45">
        <f t="shared" si="107"/>
        <v>4086358.2217249479</v>
      </c>
      <c r="L285" s="45">
        <f>IFERROR(IFERROR(INDEX('2023 IP UPL Data'!N:N,MATCH(A:A,'2023 IP UPL Data'!B:B,0)),INDEX('2023 IMD UPL Data'!M:M,MATCH(A:A,'2023 IMD UPL Data'!B:B,0))),0)</f>
        <v>342681.39749108814</v>
      </c>
      <c r="M285" s="45">
        <f>IFERROR((IF(F285="IMD",0,INDEX('2023 OP UPL Data'!M:M,MATCH(A:A,'2023 OP UPL Data'!B:B,0)))),0)</f>
        <v>730904.76857142872</v>
      </c>
      <c r="N285" s="45">
        <f t="shared" si="108"/>
        <v>1073586.1660625169</v>
      </c>
      <c r="O285" s="45">
        <v>536167.07582923025</v>
      </c>
      <c r="P285" s="45">
        <v>2402640.8651405019</v>
      </c>
      <c r="Q285" s="45">
        <f t="shared" si="109"/>
        <v>2938807.9409697321</v>
      </c>
      <c r="R285" s="45" t="str">
        <f t="shared" si="110"/>
        <v>Yes</v>
      </c>
      <c r="S285" s="46" t="str">
        <f t="shared" si="110"/>
        <v>Yes</v>
      </c>
      <c r="T285" s="47">
        <f>ROUND(INDEX(Summary!H:H,MATCH(H:H,Summary!A:A,0)),2)</f>
        <v>0</v>
      </c>
      <c r="U285" s="47">
        <f>ROUND(INDEX(Summary!I:I,MATCH(H:H,Summary!A:A,0)),2)</f>
        <v>0.28999999999999998</v>
      </c>
      <c r="V285" s="85">
        <f t="shared" si="111"/>
        <v>0</v>
      </c>
      <c r="W285" s="85">
        <f t="shared" si="111"/>
        <v>449761.33090006217</v>
      </c>
      <c r="X285" s="45">
        <f t="shared" si="112"/>
        <v>449761.33090006217</v>
      </c>
      <c r="Y285" s="45" t="s">
        <v>3223</v>
      </c>
      <c r="Z285" s="45" t="str">
        <f t="shared" si="113"/>
        <v>No</v>
      </c>
      <c r="AA285" s="45" t="str">
        <f t="shared" si="113"/>
        <v>Yes</v>
      </c>
      <c r="AB285" s="45" t="str">
        <f t="shared" si="114"/>
        <v>Yes</v>
      </c>
      <c r="AC285" s="86">
        <f t="shared" si="127"/>
        <v>0.15</v>
      </c>
      <c r="AD285" s="86">
        <f t="shared" si="128"/>
        <v>0.88</v>
      </c>
      <c r="AE285" s="45">
        <f t="shared" si="129"/>
        <v>380318.56210353761</v>
      </c>
      <c r="AF285" s="45">
        <f t="shared" si="129"/>
        <v>1364793.0041105335</v>
      </c>
      <c r="AG285" s="45">
        <f t="shared" si="115"/>
        <v>1745111.5662140711</v>
      </c>
      <c r="AH285" s="47">
        <f>IF(Y285="No",0,IFERROR(ROUNDDOWN(INDEX('90% of ACR'!K:K,MATCH(H:H,'90% of ACR'!A:A,0))*IF(I285&gt;0,IF(O285&gt;0,$R$4*MAX(O285-V285,0),0),0)/I285,2),0))</f>
        <v>0</v>
      </c>
      <c r="AI285" s="86">
        <f>IF(Y285="No",0,IFERROR(ROUNDDOWN(INDEX('90% of ACR'!R:R,MATCH(H:H,'90% of ACR'!A:A,0))*IF(J285&gt;0,IF(P285&gt;0,$R$4*MAX(P285-W285,0),0),0)/J285,2),0))</f>
        <v>0.86</v>
      </c>
      <c r="AJ285" s="45">
        <f t="shared" si="116"/>
        <v>0</v>
      </c>
      <c r="AK285" s="45">
        <f t="shared" si="116"/>
        <v>1333774.9812898396</v>
      </c>
      <c r="AL285" s="47">
        <f t="shared" si="117"/>
        <v>0</v>
      </c>
      <c r="AM285" s="47">
        <f t="shared" si="117"/>
        <v>1.1499999999999999</v>
      </c>
      <c r="AN285" s="87">
        <f>IFERROR(INDEX(FeeCalc!P:P,MATCH(C285,FeeCalc!F:F,0)),0)</f>
        <v>1783536.3121899017</v>
      </c>
      <c r="AO285" s="87">
        <f>IFERROR(INDEX(FeeCalc!S:S,MATCH(C285,FeeCalc!F:F,0)),0)</f>
        <v>109745.68984434348</v>
      </c>
      <c r="AP285" s="87">
        <f t="shared" si="118"/>
        <v>1893282.0020342453</v>
      </c>
      <c r="AQ285" s="72">
        <f t="shared" si="119"/>
        <v>803380.13848719548</v>
      </c>
      <c r="AR285" s="72">
        <f t="shared" si="120"/>
        <v>401690.06924359774</v>
      </c>
      <c r="AS285" s="72">
        <f t="shared" si="121"/>
        <v>401690.06924359774</v>
      </c>
      <c r="AT285" s="72">
        <f>IFERROR(IFERROR(INDEX('2023 IP UPL Data'!L:L,MATCH(A:A,'2023 IP UPL Data'!B:B,0)),INDEX('2023 IMD UPL Data'!I:I,MATCH(A:A,'2023 IMD UPL Data'!B:B,0))),0)</f>
        <v>1954798.0025089118</v>
      </c>
      <c r="AU285" s="72">
        <f>IFERROR(IF(F283="IMD",0,INDEX('2023 OP UPL Data'!J:J,MATCH(A:A,'2023 OP UPL Data'!B:B,0))),0)</f>
        <v>456509.05142857134</v>
      </c>
      <c r="AV285" s="45">
        <f t="shared" si="122"/>
        <v>2411307.0539374831</v>
      </c>
      <c r="AW285" s="72">
        <f>IFERROR(IFERROR(INDEX('2023 IP UPL Data'!M:M,MATCH(A:A,'2023 IP UPL Data'!B:B,0)),INDEX('2023 IMD UPL Data'!K:K,MATCH(A:A,'2023 IMD UPL Data'!B:B,0))),0)</f>
        <v>2297479.4</v>
      </c>
      <c r="AX285" s="72">
        <f>IFERROR(IF(F283="IMD",0,INDEX('2023 OP UPL Data'!L:L,MATCH(A:A,'2023 OP UPL Data'!B:B,0))),0)</f>
        <v>1187413.82</v>
      </c>
      <c r="AY285" s="45">
        <f t="shared" si="123"/>
        <v>3484893.2199999997</v>
      </c>
      <c r="AZ285" s="72">
        <v>2490965.078338142</v>
      </c>
      <c r="BA285" s="72">
        <v>2859149.9165690732</v>
      </c>
      <c r="BB285" s="72">
        <f t="shared" si="124"/>
        <v>2490965.078338142</v>
      </c>
      <c r="BC285" s="72">
        <f t="shared" si="124"/>
        <v>2409388.5856690109</v>
      </c>
      <c r="BD285" s="72">
        <f t="shared" si="125"/>
        <v>4900353.6640071534</v>
      </c>
      <c r="BE285" s="94">
        <f t="shared" si="126"/>
        <v>193485.67833814211</v>
      </c>
      <c r="BF285" s="94">
        <f t="shared" si="126"/>
        <v>1671736.0965690732</v>
      </c>
      <c r="BG285" s="73">
        <f>IFERROR(INDEX('2023 IP UPL Data'!K:K,MATCH(A285,'2023 IP UPL Data'!B:B,0)),0)</f>
        <v>0</v>
      </c>
    </row>
    <row r="286" spans="1:59">
      <c r="A286" s="124" t="s">
        <v>1225</v>
      </c>
      <c r="B286" s="149" t="s">
        <v>1225</v>
      </c>
      <c r="C286" s="31" t="s">
        <v>1226</v>
      </c>
      <c r="D286" s="181" t="s">
        <v>1226</v>
      </c>
      <c r="E286" s="144" t="s">
        <v>3375</v>
      </c>
      <c r="F286" s="120" t="s">
        <v>2718</v>
      </c>
      <c r="G286" s="120" t="s">
        <v>487</v>
      </c>
      <c r="H286" s="43" t="str">
        <f t="shared" si="106"/>
        <v>Urban Bexar</v>
      </c>
      <c r="I286" s="45">
        <f>INDEX(FeeCalc!M:M,MATCH(C:C,FeeCalc!F:F,0))</f>
        <v>11437788.405734414</v>
      </c>
      <c r="J286" s="45">
        <f>INDEX(FeeCalc!L:L,MATCH(C:C,FeeCalc!F:F,0))</f>
        <v>3208176.5312745739</v>
      </c>
      <c r="K286" s="45">
        <f t="shared" si="107"/>
        <v>14645964.937008988</v>
      </c>
      <c r="L286" s="45">
        <f>IFERROR(IFERROR(INDEX('2023 IP UPL Data'!N:N,MATCH(A:A,'2023 IP UPL Data'!B:B,0)),INDEX('2023 IMD UPL Data'!M:M,MATCH(A:A,'2023 IMD UPL Data'!B:B,0))),0)</f>
        <v>13230778.639570549</v>
      </c>
      <c r="M286" s="45">
        <f>IFERROR((IF(F286="IMD",0,INDEX('2023 OP UPL Data'!M:M,MATCH(A:A,'2023 OP UPL Data'!B:B,0)))),0)</f>
        <v>3589497.8979141102</v>
      </c>
      <c r="N286" s="45">
        <f t="shared" si="108"/>
        <v>16820276.537484661</v>
      </c>
      <c r="O286" s="45">
        <v>24637608.206991453</v>
      </c>
      <c r="P286" s="45">
        <v>6273258.6316785607</v>
      </c>
      <c r="Q286" s="45">
        <f t="shared" si="109"/>
        <v>30910866.838670015</v>
      </c>
      <c r="R286" s="45" t="str">
        <f t="shared" si="110"/>
        <v>Yes</v>
      </c>
      <c r="S286" s="46" t="str">
        <f t="shared" si="110"/>
        <v>Yes</v>
      </c>
      <c r="T286" s="47">
        <f>ROUND(INDEX(Summary!H:H,MATCH(H:H,Summary!A:A,0)),2)</f>
        <v>0.71</v>
      </c>
      <c r="U286" s="47">
        <f>ROUND(INDEX(Summary!I:I,MATCH(H:H,Summary!A:A,0)),2)</f>
        <v>0.67</v>
      </c>
      <c r="V286" s="85">
        <f t="shared" si="111"/>
        <v>8120829.7680714335</v>
      </c>
      <c r="W286" s="85">
        <f t="shared" si="111"/>
        <v>2149478.2759539648</v>
      </c>
      <c r="X286" s="45">
        <f t="shared" si="112"/>
        <v>10270308.044025399</v>
      </c>
      <c r="Y286" s="45" t="s">
        <v>3223</v>
      </c>
      <c r="Z286" s="45" t="str">
        <f t="shared" si="113"/>
        <v>Yes</v>
      </c>
      <c r="AA286" s="45" t="str">
        <f t="shared" si="113"/>
        <v>Yes</v>
      </c>
      <c r="AB286" s="45" t="str">
        <f t="shared" si="114"/>
        <v>Yes</v>
      </c>
      <c r="AC286" s="86">
        <f t="shared" si="127"/>
        <v>1.01</v>
      </c>
      <c r="AD286" s="86">
        <f t="shared" si="128"/>
        <v>0.9</v>
      </c>
      <c r="AE286" s="45">
        <f t="shared" si="129"/>
        <v>11552166.289791759</v>
      </c>
      <c r="AF286" s="45">
        <f t="shared" si="129"/>
        <v>2887358.8781471164</v>
      </c>
      <c r="AG286" s="45">
        <f t="shared" si="115"/>
        <v>14439525.167938875</v>
      </c>
      <c r="AH286" s="47">
        <f>IF(Y286="No",0,IFERROR(ROUNDDOWN(INDEX('90% of ACR'!K:K,MATCH(H:H,'90% of ACR'!A:A,0))*IF(I286&gt;0,IF(O286&gt;0,$R$4*MAX(O286-V286,0),0),0)/I286,2),0))</f>
        <v>0.74</v>
      </c>
      <c r="AI286" s="86">
        <f>IF(Y286="No",0,IFERROR(ROUNDDOWN(INDEX('90% of ACR'!R:R,MATCH(H:H,'90% of ACR'!A:A,0))*IF(J286&gt;0,IF(P286&gt;0,$R$4*MAX(P286-W286,0),0),0)/J286,2),0))</f>
        <v>0.56999999999999995</v>
      </c>
      <c r="AJ286" s="45">
        <f t="shared" si="116"/>
        <v>8463963.4202434663</v>
      </c>
      <c r="AK286" s="45">
        <f t="shared" si="116"/>
        <v>1828660.6228265068</v>
      </c>
      <c r="AL286" s="47">
        <f t="shared" si="117"/>
        <v>1.45</v>
      </c>
      <c r="AM286" s="47">
        <f t="shared" si="117"/>
        <v>1.24</v>
      </c>
      <c r="AN286" s="87">
        <f>IFERROR(INDEX(FeeCalc!P:P,MATCH(C286,FeeCalc!F:F,0)),0)</f>
        <v>20562932.087095372</v>
      </c>
      <c r="AO286" s="87">
        <f>IFERROR(INDEX(FeeCalc!S:S,MATCH(C286,FeeCalc!F:F,0)),0)</f>
        <v>1274103.6158422162</v>
      </c>
      <c r="AP286" s="87">
        <f t="shared" si="118"/>
        <v>21837035.702937588</v>
      </c>
      <c r="AQ286" s="72">
        <f t="shared" si="119"/>
        <v>9266153.0338989142</v>
      </c>
      <c r="AR286" s="72">
        <f t="shared" si="120"/>
        <v>4633076.5169494571</v>
      </c>
      <c r="AS286" s="72">
        <f t="shared" si="121"/>
        <v>4633076.5169494571</v>
      </c>
      <c r="AT286" s="72">
        <f>IFERROR(IFERROR(INDEX('2023 IP UPL Data'!L:L,MATCH(A:A,'2023 IP UPL Data'!B:B,0)),INDEX('2023 IMD UPL Data'!I:I,MATCH(A:A,'2023 IMD UPL Data'!B:B,0))),0)</f>
        <v>8098324.1104294499</v>
      </c>
      <c r="AU286" s="72">
        <f>IFERROR(IF(F284="IMD",0,INDEX('2023 OP UPL Data'!J:J,MATCH(A:A,'2023 OP UPL Data'!B:B,0))),0)</f>
        <v>1526440.8220858895</v>
      </c>
      <c r="AV286" s="45">
        <f t="shared" si="122"/>
        <v>9624764.9325153399</v>
      </c>
      <c r="AW286" s="72">
        <f>IFERROR(IFERROR(INDEX('2023 IP UPL Data'!M:M,MATCH(A:A,'2023 IP UPL Data'!B:B,0)),INDEX('2023 IMD UPL Data'!K:K,MATCH(A:A,'2023 IMD UPL Data'!B:B,0))),0)</f>
        <v>21329102.75</v>
      </c>
      <c r="AX286" s="72">
        <f>IFERROR(IF(F284="IMD",0,INDEX('2023 OP UPL Data'!L:L,MATCH(A:A,'2023 OP UPL Data'!B:B,0))),0)</f>
        <v>5115938.72</v>
      </c>
      <c r="AY286" s="45">
        <f t="shared" si="123"/>
        <v>26445041.469999999</v>
      </c>
      <c r="AZ286" s="72">
        <v>32735932.317420904</v>
      </c>
      <c r="BA286" s="72">
        <v>7799699.4537644507</v>
      </c>
      <c r="BB286" s="72">
        <f t="shared" si="124"/>
        <v>24615102.549349472</v>
      </c>
      <c r="BC286" s="72">
        <f t="shared" si="124"/>
        <v>5650221.1778104864</v>
      </c>
      <c r="BD286" s="72">
        <f t="shared" si="125"/>
        <v>30265323.727159955</v>
      </c>
      <c r="BE286" s="94">
        <f t="shared" si="126"/>
        <v>11406829.567420904</v>
      </c>
      <c r="BF286" s="94">
        <f t="shared" si="126"/>
        <v>2683760.733764451</v>
      </c>
      <c r="BG286" s="73">
        <f>IFERROR(INDEX('2023 IP UPL Data'!K:K,MATCH(A286,'2023 IP UPL Data'!B:B,0)),0)</f>
        <v>0</v>
      </c>
    </row>
    <row r="287" spans="1:59">
      <c r="A287" s="124" t="s">
        <v>944</v>
      </c>
      <c r="B287" s="149" t="s">
        <v>944</v>
      </c>
      <c r="C287" s="31" t="s">
        <v>945</v>
      </c>
      <c r="D287" s="181" t="s">
        <v>945</v>
      </c>
      <c r="E287" s="144" t="s">
        <v>3368</v>
      </c>
      <c r="F287" s="120" t="s">
        <v>2718</v>
      </c>
      <c r="G287" s="120" t="s">
        <v>227</v>
      </c>
      <c r="H287" s="43" t="str">
        <f t="shared" si="106"/>
        <v>Urban MRSA West</v>
      </c>
      <c r="I287" s="45">
        <f>INDEX(FeeCalc!M:M,MATCH(C:C,FeeCalc!F:F,0))</f>
        <v>8155439.3384496905</v>
      </c>
      <c r="J287" s="45">
        <f>INDEX(FeeCalc!L:L,MATCH(C:C,FeeCalc!F:F,0))</f>
        <v>1728213.9189779675</v>
      </c>
      <c r="K287" s="45">
        <f t="shared" si="107"/>
        <v>9883653.2574276589</v>
      </c>
      <c r="L287" s="45">
        <f>IFERROR(IFERROR(INDEX('2023 IP UPL Data'!N:N,MATCH(A:A,'2023 IP UPL Data'!B:B,0)),INDEX('2023 IMD UPL Data'!M:M,MATCH(A:A,'2023 IMD UPL Data'!B:B,0))),0)</f>
        <v>6319051.0828571422</v>
      </c>
      <c r="M287" s="45">
        <f>IFERROR((IF(F287="IMD",0,INDEX('2023 OP UPL Data'!M:M,MATCH(A:A,'2023 OP UPL Data'!B:B,0)))),0)</f>
        <v>3173550.3785714284</v>
      </c>
      <c r="N287" s="45">
        <f t="shared" si="108"/>
        <v>9492601.4614285715</v>
      </c>
      <c r="O287" s="45">
        <v>29889291.158573359</v>
      </c>
      <c r="P287" s="45">
        <v>6422335.5289146509</v>
      </c>
      <c r="Q287" s="45">
        <f t="shared" si="109"/>
        <v>36311626.687488012</v>
      </c>
      <c r="R287" s="45" t="str">
        <f t="shared" si="110"/>
        <v>Yes</v>
      </c>
      <c r="S287" s="46" t="str">
        <f t="shared" si="110"/>
        <v>Yes</v>
      </c>
      <c r="T287" s="47">
        <f>ROUND(INDEX(Summary!H:H,MATCH(H:H,Summary!A:A,0)),2)</f>
        <v>0.43</v>
      </c>
      <c r="U287" s="47">
        <f>ROUND(INDEX(Summary!I:I,MATCH(H:H,Summary!A:A,0)),2)</f>
        <v>1.18</v>
      </c>
      <c r="V287" s="85">
        <f t="shared" si="111"/>
        <v>3506838.9155333671</v>
      </c>
      <c r="W287" s="85">
        <f t="shared" si="111"/>
        <v>2039292.4243940015</v>
      </c>
      <c r="X287" s="45">
        <f t="shared" si="112"/>
        <v>5546131.3399273688</v>
      </c>
      <c r="Y287" s="45" t="s">
        <v>3223</v>
      </c>
      <c r="Z287" s="45" t="str">
        <f t="shared" si="113"/>
        <v>Yes</v>
      </c>
      <c r="AA287" s="45" t="str">
        <f t="shared" si="113"/>
        <v>Yes</v>
      </c>
      <c r="AB287" s="45" t="str">
        <f t="shared" si="114"/>
        <v>Yes</v>
      </c>
      <c r="AC287" s="86">
        <f t="shared" si="127"/>
        <v>2.25</v>
      </c>
      <c r="AD287" s="86">
        <f t="shared" si="128"/>
        <v>1.77</v>
      </c>
      <c r="AE287" s="45">
        <f t="shared" si="129"/>
        <v>18349738.511511803</v>
      </c>
      <c r="AF287" s="45">
        <f t="shared" si="129"/>
        <v>3058938.6365910023</v>
      </c>
      <c r="AG287" s="45">
        <f t="shared" si="115"/>
        <v>21408677.148102805</v>
      </c>
      <c r="AH287" s="47">
        <f>IF(Y287="No",0,IFERROR(ROUNDDOWN(INDEX('90% of ACR'!K:K,MATCH(H:H,'90% of ACR'!A:A,0))*IF(I287&gt;0,IF(O287&gt;0,$R$4*MAX(O287-V287,0),0),0)/I287,2),0))</f>
        <v>2.25</v>
      </c>
      <c r="AI287" s="86">
        <f>IF(Y287="No",0,IFERROR(ROUNDDOWN(INDEX('90% of ACR'!R:R,MATCH(H:H,'90% of ACR'!A:A,0))*IF(J287&gt;0,IF(P287&gt;0,$R$4*MAX(P287-W287,0),0),0)/J287,2),0))</f>
        <v>1.69</v>
      </c>
      <c r="AJ287" s="45">
        <f t="shared" si="116"/>
        <v>18349738.511511803</v>
      </c>
      <c r="AK287" s="45">
        <f t="shared" si="116"/>
        <v>2920681.5230727647</v>
      </c>
      <c r="AL287" s="47">
        <f t="shared" si="117"/>
        <v>2.68</v>
      </c>
      <c r="AM287" s="47">
        <f t="shared" si="117"/>
        <v>2.87</v>
      </c>
      <c r="AN287" s="87">
        <f>IFERROR(INDEX(FeeCalc!P:P,MATCH(C287,FeeCalc!F:F,0)),0)</f>
        <v>26816551.374511935</v>
      </c>
      <c r="AO287" s="87">
        <f>IFERROR(INDEX(FeeCalc!S:S,MATCH(C287,FeeCalc!F:F,0)),0)</f>
        <v>1643059.1667405844</v>
      </c>
      <c r="AP287" s="87">
        <f t="shared" si="118"/>
        <v>28459610.54125252</v>
      </c>
      <c r="AQ287" s="72">
        <f t="shared" si="119"/>
        <v>12076323.460190766</v>
      </c>
      <c r="AR287" s="72">
        <f t="shared" si="120"/>
        <v>6038161.7300953828</v>
      </c>
      <c r="AS287" s="72">
        <f t="shared" si="121"/>
        <v>6038161.7300953828</v>
      </c>
      <c r="AT287" s="72">
        <f>IFERROR(IFERROR(INDEX('2023 IP UPL Data'!L:L,MATCH(A:A,'2023 IP UPL Data'!B:B,0)),INDEX('2023 IMD UPL Data'!I:I,MATCH(A:A,'2023 IMD UPL Data'!B:B,0))),0)</f>
        <v>7843799.1371428585</v>
      </c>
      <c r="AU287" s="72">
        <f>IFERROR(IF(F285="IMD",0,INDEX('2023 OP UPL Data'!J:J,MATCH(A:A,'2023 OP UPL Data'!B:B,0))),0)</f>
        <v>785952.65142857144</v>
      </c>
      <c r="AV287" s="45">
        <f t="shared" si="122"/>
        <v>8629751.7885714304</v>
      </c>
      <c r="AW287" s="72">
        <f>IFERROR(IFERROR(INDEX('2023 IP UPL Data'!M:M,MATCH(A:A,'2023 IP UPL Data'!B:B,0)),INDEX('2023 IMD UPL Data'!K:K,MATCH(A:A,'2023 IMD UPL Data'!B:B,0))),0)</f>
        <v>14162850.220000001</v>
      </c>
      <c r="AX287" s="72">
        <f>IFERROR(IF(F285="IMD",0,INDEX('2023 OP UPL Data'!L:L,MATCH(A:A,'2023 OP UPL Data'!B:B,0))),0)</f>
        <v>3959503.03</v>
      </c>
      <c r="AY287" s="45">
        <f t="shared" si="123"/>
        <v>18122353.25</v>
      </c>
      <c r="AZ287" s="72">
        <v>37733090.295716219</v>
      </c>
      <c r="BA287" s="72">
        <v>7208288.1803432228</v>
      </c>
      <c r="BB287" s="72">
        <f t="shared" si="124"/>
        <v>34226251.380182855</v>
      </c>
      <c r="BC287" s="72">
        <f t="shared" si="124"/>
        <v>5168995.7559492216</v>
      </c>
      <c r="BD287" s="72">
        <f t="shared" si="125"/>
        <v>39395247.136132076</v>
      </c>
      <c r="BE287" s="94">
        <f t="shared" si="126"/>
        <v>23570240.07571622</v>
      </c>
      <c r="BF287" s="94">
        <f t="shared" si="126"/>
        <v>3248785.150343223</v>
      </c>
      <c r="BG287" s="73">
        <f>IFERROR(INDEX('2023 IP UPL Data'!K:K,MATCH(A287,'2023 IP UPL Data'!B:B,0)),0)</f>
        <v>0</v>
      </c>
    </row>
    <row r="288" spans="1:59">
      <c r="A288" s="124" t="s">
        <v>1134</v>
      </c>
      <c r="B288" s="149" t="s">
        <v>1134</v>
      </c>
      <c r="C288" s="31" t="s">
        <v>1135</v>
      </c>
      <c r="D288" s="181" t="s">
        <v>1135</v>
      </c>
      <c r="E288" s="144" t="s">
        <v>3369</v>
      </c>
      <c r="F288" s="120" t="s">
        <v>2718</v>
      </c>
      <c r="G288" s="120" t="s">
        <v>1555</v>
      </c>
      <c r="H288" s="43" t="str">
        <f t="shared" si="106"/>
        <v>Urban Jefferson</v>
      </c>
      <c r="I288" s="45">
        <f>INDEX(FeeCalc!M:M,MATCH(C:C,FeeCalc!F:F,0))</f>
        <v>3237289.4133679457</v>
      </c>
      <c r="J288" s="45">
        <f>INDEX(FeeCalc!L:L,MATCH(C:C,FeeCalc!F:F,0))</f>
        <v>2354805.6526385439</v>
      </c>
      <c r="K288" s="45">
        <f t="shared" si="107"/>
        <v>5592095.0660064891</v>
      </c>
      <c r="L288" s="45">
        <f>IFERROR(IFERROR(INDEX('2023 IP UPL Data'!N:N,MATCH(A:A,'2023 IP UPL Data'!B:B,0)),INDEX('2023 IMD UPL Data'!M:M,MATCH(A:A,'2023 IMD UPL Data'!B:B,0))),0)</f>
        <v>5025736.0917903939</v>
      </c>
      <c r="M288" s="45">
        <f>IFERROR((IF(F288="IMD",0,INDEX('2023 OP UPL Data'!M:M,MATCH(A:A,'2023 OP UPL Data'!B:B,0)))),0)</f>
        <v>3489356.5520524019</v>
      </c>
      <c r="N288" s="45">
        <f t="shared" si="108"/>
        <v>8515092.6438427959</v>
      </c>
      <c r="O288" s="45">
        <v>10347110.774558879</v>
      </c>
      <c r="P288" s="45">
        <v>7153723.3976292564</v>
      </c>
      <c r="Q288" s="45">
        <f t="shared" si="109"/>
        <v>17500834.172188137</v>
      </c>
      <c r="R288" s="45" t="str">
        <f t="shared" si="110"/>
        <v>Yes</v>
      </c>
      <c r="S288" s="46" t="str">
        <f t="shared" si="110"/>
        <v>Yes</v>
      </c>
      <c r="T288" s="47">
        <f>ROUND(INDEX(Summary!H:H,MATCH(H:H,Summary!A:A,0)),2)</f>
        <v>1.34</v>
      </c>
      <c r="U288" s="47">
        <f>ROUND(INDEX(Summary!I:I,MATCH(H:H,Summary!A:A,0)),2)</f>
        <v>1.7</v>
      </c>
      <c r="V288" s="85">
        <f t="shared" si="111"/>
        <v>4337967.8139130473</v>
      </c>
      <c r="W288" s="85">
        <f t="shared" si="111"/>
        <v>4003169.6094855242</v>
      </c>
      <c r="X288" s="45">
        <f t="shared" si="112"/>
        <v>8341137.4233985711</v>
      </c>
      <c r="Y288" s="45" t="s">
        <v>3223</v>
      </c>
      <c r="Z288" s="45" t="str">
        <f t="shared" si="113"/>
        <v>Yes</v>
      </c>
      <c r="AA288" s="45" t="str">
        <f t="shared" si="113"/>
        <v>Yes</v>
      </c>
      <c r="AB288" s="45" t="str">
        <f t="shared" si="114"/>
        <v>Yes</v>
      </c>
      <c r="AC288" s="86">
        <f t="shared" si="127"/>
        <v>1.29</v>
      </c>
      <c r="AD288" s="86">
        <f t="shared" si="128"/>
        <v>0.93</v>
      </c>
      <c r="AE288" s="45">
        <f t="shared" si="129"/>
        <v>4176103.3432446499</v>
      </c>
      <c r="AF288" s="45">
        <f t="shared" si="129"/>
        <v>2189969.2569538457</v>
      </c>
      <c r="AG288" s="45">
        <f t="shared" si="115"/>
        <v>6366072.6001984961</v>
      </c>
      <c r="AH288" s="47">
        <f>IF(Y288="No",0,IFERROR(ROUNDDOWN(INDEX('90% of ACR'!K:K,MATCH(H:H,'90% of ACR'!A:A,0))*IF(I288&gt;0,IF(O288&gt;0,$R$4*MAX(O288-V288,0),0),0)/I288,2),0))</f>
        <v>1.1200000000000001</v>
      </c>
      <c r="AI288" s="86">
        <f>IF(Y288="No",0,IFERROR(ROUNDDOWN(INDEX('90% of ACR'!R:R,MATCH(H:H,'90% of ACR'!A:A,0))*IF(J288&gt;0,IF(P288&gt;0,$R$4*MAX(P288-W288,0),0),0)/J288,2),0))</f>
        <v>0.77</v>
      </c>
      <c r="AJ288" s="45">
        <f t="shared" si="116"/>
        <v>3625764.1429720996</v>
      </c>
      <c r="AK288" s="45">
        <f t="shared" si="116"/>
        <v>1813200.3525316787</v>
      </c>
      <c r="AL288" s="47">
        <f t="shared" si="117"/>
        <v>2.46</v>
      </c>
      <c r="AM288" s="47">
        <f t="shared" si="117"/>
        <v>2.4699999999999998</v>
      </c>
      <c r="AN288" s="87">
        <f>IFERROR(INDEX(FeeCalc!P:P,MATCH(C288,FeeCalc!F:F,0)),0)</f>
        <v>13780101.918902349</v>
      </c>
      <c r="AO288" s="87">
        <f>IFERROR(INDEX(FeeCalc!S:S,MATCH(C288,FeeCalc!F:F,0)),0)</f>
        <v>851675.54308332852</v>
      </c>
      <c r="AP288" s="87">
        <f t="shared" si="118"/>
        <v>14631777.461985677</v>
      </c>
      <c r="AQ288" s="72">
        <f t="shared" si="119"/>
        <v>6208731.3939993074</v>
      </c>
      <c r="AR288" s="72">
        <f t="shared" si="120"/>
        <v>3104365.6969996537</v>
      </c>
      <c r="AS288" s="72">
        <f t="shared" si="121"/>
        <v>3104365.6969996537</v>
      </c>
      <c r="AT288" s="72">
        <f>IFERROR(IFERROR(INDEX('2023 IP UPL Data'!L:L,MATCH(A:A,'2023 IP UPL Data'!B:B,0)),INDEX('2023 IMD UPL Data'!I:I,MATCH(A:A,'2023 IMD UPL Data'!B:B,0))),0)</f>
        <v>3386008.2882096069</v>
      </c>
      <c r="AU288" s="72">
        <f>IFERROR(IF(F286="IMD",0,INDEX('2023 OP UPL Data'!J:J,MATCH(A:A,'2023 OP UPL Data'!B:B,0))),0)</f>
        <v>1243856.4279475983</v>
      </c>
      <c r="AV288" s="45">
        <f t="shared" si="122"/>
        <v>4629864.7161572054</v>
      </c>
      <c r="AW288" s="72">
        <f>IFERROR(IFERROR(INDEX('2023 IP UPL Data'!M:M,MATCH(A:A,'2023 IP UPL Data'!B:B,0)),INDEX('2023 IMD UPL Data'!K:K,MATCH(A:A,'2023 IMD UPL Data'!B:B,0))),0)</f>
        <v>8411744.3800000008</v>
      </c>
      <c r="AX288" s="72">
        <f>IFERROR(IF(F286="IMD",0,INDEX('2023 OP UPL Data'!L:L,MATCH(A:A,'2023 OP UPL Data'!B:B,0))),0)</f>
        <v>4733212.9800000004</v>
      </c>
      <c r="AY288" s="45">
        <f t="shared" si="123"/>
        <v>13144957.360000001</v>
      </c>
      <c r="AZ288" s="72">
        <v>13733119.062768485</v>
      </c>
      <c r="BA288" s="72">
        <v>8397579.8255768549</v>
      </c>
      <c r="BB288" s="72">
        <f t="shared" si="124"/>
        <v>9395151.2488554381</v>
      </c>
      <c r="BC288" s="72">
        <f t="shared" si="124"/>
        <v>4394410.2160913311</v>
      </c>
      <c r="BD288" s="72">
        <f t="shared" si="125"/>
        <v>13789561.464946767</v>
      </c>
      <c r="BE288" s="94">
        <f t="shared" si="126"/>
        <v>5321374.6827684846</v>
      </c>
      <c r="BF288" s="94">
        <f t="shared" si="126"/>
        <v>3664366.8455768544</v>
      </c>
      <c r="BG288" s="73">
        <f>IFERROR(INDEX('2023 IP UPL Data'!K:K,MATCH(A288,'2023 IP UPL Data'!B:B,0)),0)</f>
        <v>0</v>
      </c>
    </row>
    <row r="289" spans="1:59">
      <c r="A289" s="124" t="s">
        <v>536</v>
      </c>
      <c r="B289" s="149" t="s">
        <v>536</v>
      </c>
      <c r="C289" s="31" t="s">
        <v>537</v>
      </c>
      <c r="D289" s="181" t="s">
        <v>537</v>
      </c>
      <c r="E289" s="144" t="s">
        <v>3370</v>
      </c>
      <c r="F289" s="120" t="s">
        <v>2718</v>
      </c>
      <c r="G289" s="120" t="s">
        <v>310</v>
      </c>
      <c r="H289" s="43" t="str">
        <f t="shared" si="106"/>
        <v>Urban MRSA Northeast</v>
      </c>
      <c r="I289" s="45">
        <f>INDEX(FeeCalc!M:M,MATCH(C:C,FeeCalc!F:F,0))</f>
        <v>1773934.3411842128</v>
      </c>
      <c r="J289" s="45">
        <f>INDEX(FeeCalc!L:L,MATCH(C:C,FeeCalc!F:F,0))</f>
        <v>786678.64662604628</v>
      </c>
      <c r="K289" s="45">
        <f t="shared" si="107"/>
        <v>2560612.9878102592</v>
      </c>
      <c r="L289" s="45">
        <f>IFERROR(IFERROR(INDEX('2023 IP UPL Data'!N:N,MATCH(A:A,'2023 IP UPL Data'!B:B,0)),INDEX('2023 IMD UPL Data'!M:M,MATCH(A:A,'2023 IMD UPL Data'!B:B,0))),0)</f>
        <v>1893426.9360869564</v>
      </c>
      <c r="M289" s="45">
        <f>IFERROR((IF(F289="IMD",0,INDEX('2023 OP UPL Data'!M:M,MATCH(A:A,'2023 OP UPL Data'!B:B,0)))),0)</f>
        <v>1343596.0478260869</v>
      </c>
      <c r="N289" s="45">
        <f t="shared" si="108"/>
        <v>3237022.9839130435</v>
      </c>
      <c r="O289" s="45">
        <v>2954730.6775515233</v>
      </c>
      <c r="P289" s="45">
        <v>1447221.3576296407</v>
      </c>
      <c r="Q289" s="45">
        <f t="shared" si="109"/>
        <v>4401952.0351811638</v>
      </c>
      <c r="R289" s="45" t="str">
        <f t="shared" si="110"/>
        <v>Yes</v>
      </c>
      <c r="S289" s="46" t="str">
        <f t="shared" si="110"/>
        <v>Yes</v>
      </c>
      <c r="T289" s="47">
        <f>ROUND(INDEX(Summary!H:H,MATCH(H:H,Summary!A:A,0)),2)</f>
        <v>0.79</v>
      </c>
      <c r="U289" s="47">
        <f>ROUND(INDEX(Summary!I:I,MATCH(H:H,Summary!A:A,0)),2)</f>
        <v>1.2</v>
      </c>
      <c r="V289" s="85">
        <f t="shared" si="111"/>
        <v>1401408.1295355281</v>
      </c>
      <c r="W289" s="85">
        <f t="shared" si="111"/>
        <v>944014.37595125544</v>
      </c>
      <c r="X289" s="45">
        <f t="shared" si="112"/>
        <v>2345422.5054867836</v>
      </c>
      <c r="Y289" s="45" t="s">
        <v>3223</v>
      </c>
      <c r="Z289" s="45" t="str">
        <f t="shared" si="113"/>
        <v>Yes</v>
      </c>
      <c r="AA289" s="45" t="str">
        <f t="shared" si="113"/>
        <v>Yes</v>
      </c>
      <c r="AB289" s="45" t="str">
        <f t="shared" si="114"/>
        <v>Yes</v>
      </c>
      <c r="AC289" s="86">
        <f t="shared" si="127"/>
        <v>0.61</v>
      </c>
      <c r="AD289" s="86">
        <f t="shared" si="128"/>
        <v>0.45</v>
      </c>
      <c r="AE289" s="45">
        <f t="shared" si="129"/>
        <v>1082099.9481223698</v>
      </c>
      <c r="AF289" s="45">
        <f t="shared" si="129"/>
        <v>354005.39098172082</v>
      </c>
      <c r="AG289" s="45">
        <f t="shared" si="115"/>
        <v>1436105.3391040906</v>
      </c>
      <c r="AH289" s="47">
        <f>IF(Y289="No",0,IFERROR(ROUNDDOWN(INDEX('90% of ACR'!K:K,MATCH(H:H,'90% of ACR'!A:A,0))*IF(I289&gt;0,IF(O289&gt;0,$R$4*MAX(O289-V289,0),0),0)/I289,2),0))</f>
        <v>0.61</v>
      </c>
      <c r="AI289" s="86">
        <f>IF(Y289="No",0,IFERROR(ROUNDDOWN(INDEX('90% of ACR'!R:R,MATCH(H:H,'90% of ACR'!A:A,0))*IF(J289&gt;0,IF(P289&gt;0,$R$4*MAX(P289-W289,0),0),0)/J289,2),0))</f>
        <v>0.44</v>
      </c>
      <c r="AJ289" s="45">
        <f t="shared" si="116"/>
        <v>1082099.9481223698</v>
      </c>
      <c r="AK289" s="45">
        <f t="shared" si="116"/>
        <v>346138.60451546038</v>
      </c>
      <c r="AL289" s="47">
        <f t="shared" si="117"/>
        <v>1.4</v>
      </c>
      <c r="AM289" s="47">
        <f t="shared" si="117"/>
        <v>1.64</v>
      </c>
      <c r="AN289" s="87">
        <f>IFERROR(INDEX(FeeCalc!P:P,MATCH(C289,FeeCalc!F:F,0)),0)</f>
        <v>3773661.0581246139</v>
      </c>
      <c r="AO289" s="87">
        <f>IFERROR(INDEX(FeeCalc!S:S,MATCH(C289,FeeCalc!F:F,0)),0)</f>
        <v>234617.94484137173</v>
      </c>
      <c r="AP289" s="87">
        <f t="shared" si="118"/>
        <v>4008279.0029659858</v>
      </c>
      <c r="AQ289" s="72">
        <f t="shared" si="119"/>
        <v>1700841.0458865629</v>
      </c>
      <c r="AR289" s="72">
        <f t="shared" si="120"/>
        <v>850420.52294328145</v>
      </c>
      <c r="AS289" s="72">
        <f t="shared" si="121"/>
        <v>850420.52294328145</v>
      </c>
      <c r="AT289" s="72">
        <f>IFERROR(IFERROR(INDEX('2023 IP UPL Data'!L:L,MATCH(A:A,'2023 IP UPL Data'!B:B,0)),INDEX('2023 IMD UPL Data'!I:I,MATCH(A:A,'2023 IMD UPL Data'!B:B,0))),0)</f>
        <v>1483571.1739130435</v>
      </c>
      <c r="AU289" s="72">
        <f>IFERROR(IF(F287="IMD",0,INDEX('2023 OP UPL Data'!J:J,MATCH(A:A,'2023 OP UPL Data'!B:B,0))),0)</f>
        <v>394386.15217391308</v>
      </c>
      <c r="AV289" s="45">
        <f t="shared" si="122"/>
        <v>1877957.3260869565</v>
      </c>
      <c r="AW289" s="72">
        <f>IFERROR(IFERROR(INDEX('2023 IP UPL Data'!M:M,MATCH(A:A,'2023 IP UPL Data'!B:B,0)),INDEX('2023 IMD UPL Data'!K:K,MATCH(A:A,'2023 IMD UPL Data'!B:B,0))),0)</f>
        <v>3376998.11</v>
      </c>
      <c r="AX289" s="72">
        <f>IFERROR(IF(F287="IMD",0,INDEX('2023 OP UPL Data'!L:L,MATCH(A:A,'2023 OP UPL Data'!B:B,0))),0)</f>
        <v>1737982.2</v>
      </c>
      <c r="AY289" s="45">
        <f t="shared" si="123"/>
        <v>5114980.3099999996</v>
      </c>
      <c r="AZ289" s="72">
        <v>4438301.8514645668</v>
      </c>
      <c r="BA289" s="72">
        <v>1841607.5098035538</v>
      </c>
      <c r="BB289" s="72">
        <f t="shared" si="124"/>
        <v>3036893.7219290389</v>
      </c>
      <c r="BC289" s="72">
        <f t="shared" si="124"/>
        <v>897593.13385229837</v>
      </c>
      <c r="BD289" s="72">
        <f t="shared" si="125"/>
        <v>3934486.8557813372</v>
      </c>
      <c r="BE289" s="94">
        <f t="shared" si="126"/>
        <v>1061303.7414645669</v>
      </c>
      <c r="BF289" s="94">
        <f t="shared" si="126"/>
        <v>103625.30980355386</v>
      </c>
      <c r="BG289" s="73">
        <f>IFERROR(INDEX('2023 IP UPL Data'!K:K,MATCH(A289,'2023 IP UPL Data'!B:B,0)),0)</f>
        <v>0</v>
      </c>
    </row>
    <row r="290" spans="1:59">
      <c r="A290" s="124" t="s">
        <v>1712</v>
      </c>
      <c r="B290" s="149" t="s">
        <v>1712</v>
      </c>
      <c r="C290" s="31" t="s">
        <v>1714</v>
      </c>
      <c r="D290" s="181" t="s">
        <v>1714</v>
      </c>
      <c r="E290" s="144" t="s">
        <v>2557</v>
      </c>
      <c r="F290" s="120" t="s">
        <v>2718</v>
      </c>
      <c r="G290" s="120" t="s">
        <v>300</v>
      </c>
      <c r="H290" s="43" t="str">
        <f t="shared" si="106"/>
        <v>Urban Harris</v>
      </c>
      <c r="I290" s="45">
        <f>INDEX(FeeCalc!M:M,MATCH(C:C,FeeCalc!F:F,0))</f>
        <v>9379239.8492714353</v>
      </c>
      <c r="J290" s="45">
        <f>INDEX(FeeCalc!L:L,MATCH(C:C,FeeCalc!F:F,0))</f>
        <v>1947487.0631957105</v>
      </c>
      <c r="K290" s="45">
        <f t="shared" si="107"/>
        <v>11326726.912467146</v>
      </c>
      <c r="L290" s="45">
        <f>IFERROR(IFERROR(INDEX('2023 IP UPL Data'!N:N,MATCH(A:A,'2023 IP UPL Data'!B:B,0)),INDEX('2023 IMD UPL Data'!M:M,MATCH(A:A,'2023 IMD UPL Data'!B:B,0))),0)</f>
        <v>30275019.28602941</v>
      </c>
      <c r="M290" s="45">
        <f>IFERROR((IF(F290="IMD",0,INDEX('2023 OP UPL Data'!M:M,MATCH(A:A,'2023 OP UPL Data'!B:B,0)))),0)</f>
        <v>4316000.4649999999</v>
      </c>
      <c r="N290" s="45">
        <f t="shared" si="108"/>
        <v>34591019.751029409</v>
      </c>
      <c r="O290" s="45">
        <v>26795786.909968805</v>
      </c>
      <c r="P290" s="45">
        <v>5277209.798526478</v>
      </c>
      <c r="Q290" s="45">
        <f t="shared" si="109"/>
        <v>32072996.708495282</v>
      </c>
      <c r="R290" s="45" t="str">
        <f t="shared" si="110"/>
        <v>Yes</v>
      </c>
      <c r="S290" s="46" t="str">
        <f t="shared" si="110"/>
        <v>Yes</v>
      </c>
      <c r="T290" s="47">
        <f>ROUND(INDEX(Summary!H:H,MATCH(H:H,Summary!A:A,0)),2)</f>
        <v>2.59</v>
      </c>
      <c r="U290" s="47">
        <f>ROUND(INDEX(Summary!I:I,MATCH(H:H,Summary!A:A,0)),2)</f>
        <v>0.85</v>
      </c>
      <c r="V290" s="85">
        <f t="shared" si="111"/>
        <v>24292231.209613018</v>
      </c>
      <c r="W290" s="85">
        <f t="shared" si="111"/>
        <v>1655364.003716354</v>
      </c>
      <c r="X290" s="45">
        <f t="shared" si="112"/>
        <v>25947595.213329371</v>
      </c>
      <c r="Y290" s="45" t="s">
        <v>3223</v>
      </c>
      <c r="Z290" s="45" t="str">
        <f t="shared" si="113"/>
        <v>No</v>
      </c>
      <c r="AA290" s="45" t="str">
        <f t="shared" si="113"/>
        <v>Yes</v>
      </c>
      <c r="AB290" s="45" t="str">
        <f t="shared" si="114"/>
        <v>Yes</v>
      </c>
      <c r="AC290" s="86">
        <f t="shared" si="127"/>
        <v>0.19</v>
      </c>
      <c r="AD290" s="86">
        <f t="shared" si="128"/>
        <v>1.3</v>
      </c>
      <c r="AE290" s="45">
        <f t="shared" si="129"/>
        <v>1782055.5713615727</v>
      </c>
      <c r="AF290" s="45">
        <f t="shared" si="129"/>
        <v>2531733.1821544236</v>
      </c>
      <c r="AG290" s="45">
        <f t="shared" si="115"/>
        <v>4313788.753515996</v>
      </c>
      <c r="AH290" s="47">
        <f>IF(Y290="No",0,IFERROR(ROUNDDOWN(INDEX('90% of ACR'!K:K,MATCH(H:H,'90% of ACR'!A:A,0))*IF(I290&gt;0,IF(O290&gt;0,$R$4*MAX(O290-V290,0),0),0)/I290,2),0))</f>
        <v>0</v>
      </c>
      <c r="AI290" s="86">
        <f>IF(Y290="No",0,IFERROR(ROUNDDOWN(INDEX('90% of ACR'!R:R,MATCH(H:H,'90% of ACR'!A:A,0))*IF(J290&gt;0,IF(P290&gt;0,$R$4*MAX(P290-W290,0),0),0)/J290,2),0))</f>
        <v>0.98</v>
      </c>
      <c r="AJ290" s="45">
        <f t="shared" si="116"/>
        <v>0</v>
      </c>
      <c r="AK290" s="45">
        <f t="shared" si="116"/>
        <v>1908537.3219317964</v>
      </c>
      <c r="AL290" s="47">
        <f t="shared" si="117"/>
        <v>2.59</v>
      </c>
      <c r="AM290" s="47">
        <f t="shared" si="117"/>
        <v>1.83</v>
      </c>
      <c r="AN290" s="87">
        <f>IFERROR(INDEX(FeeCalc!P:P,MATCH(C290,FeeCalc!F:F,0)),0)</f>
        <v>27856132.535261169</v>
      </c>
      <c r="AO290" s="87">
        <f>IFERROR(INDEX(FeeCalc!S:S,MATCH(C290,FeeCalc!F:F,0)),0)</f>
        <v>1734534.3536581052</v>
      </c>
      <c r="AP290" s="87">
        <f t="shared" si="118"/>
        <v>29590666.888919275</v>
      </c>
      <c r="AQ290" s="72">
        <f t="shared" si="119"/>
        <v>12556266.862308895</v>
      </c>
      <c r="AR290" s="72">
        <f t="shared" si="120"/>
        <v>6278133.4311544476</v>
      </c>
      <c r="AS290" s="72">
        <f t="shared" si="121"/>
        <v>6278133.4311544476</v>
      </c>
      <c r="AT290" s="72">
        <f>IFERROR(IFERROR(INDEX('2023 IP UPL Data'!L:L,MATCH(A:A,'2023 IP UPL Data'!B:B,0)),INDEX('2023 IMD UPL Data'!I:I,MATCH(A:A,'2023 IMD UPL Data'!B:B,0))),0)</f>
        <v>14159248.113970589</v>
      </c>
      <c r="AU290" s="72">
        <f>IFERROR(IF(F288="IMD",0,INDEX('2023 OP UPL Data'!J:J,MATCH(A:A,'2023 OP UPL Data'!B:B,0))),0)</f>
        <v>1277154.625</v>
      </c>
      <c r="AV290" s="45">
        <f t="shared" si="122"/>
        <v>15436402.738970589</v>
      </c>
      <c r="AW290" s="72">
        <f>IFERROR(IFERROR(INDEX('2023 IP UPL Data'!M:M,MATCH(A:A,'2023 IP UPL Data'!B:B,0)),INDEX('2023 IMD UPL Data'!K:K,MATCH(A:A,'2023 IMD UPL Data'!B:B,0))),0)</f>
        <v>44434267.399999999</v>
      </c>
      <c r="AX290" s="72">
        <f>IFERROR(IF(F288="IMD",0,INDEX('2023 OP UPL Data'!L:L,MATCH(A:A,'2023 OP UPL Data'!B:B,0))),0)</f>
        <v>5593155.0899999999</v>
      </c>
      <c r="AY290" s="45">
        <f t="shared" si="123"/>
        <v>50027422.489999995</v>
      </c>
      <c r="AZ290" s="72">
        <v>40955035.023939393</v>
      </c>
      <c r="BA290" s="72">
        <v>6554364.423526478</v>
      </c>
      <c r="BB290" s="72">
        <f t="shared" si="124"/>
        <v>16662803.814326376</v>
      </c>
      <c r="BC290" s="72">
        <f t="shared" si="124"/>
        <v>4899000.4198101237</v>
      </c>
      <c r="BD290" s="72">
        <f t="shared" si="125"/>
        <v>21561804.234136503</v>
      </c>
      <c r="BE290" s="94">
        <f t="shared" si="126"/>
        <v>0</v>
      </c>
      <c r="BF290" s="94">
        <f t="shared" si="126"/>
        <v>961209.33352647815</v>
      </c>
      <c r="BG290" s="73">
        <f>IFERROR(INDEX('2023 IP UPL Data'!K:K,MATCH(A290,'2023 IP UPL Data'!B:B,0)),0)</f>
        <v>0</v>
      </c>
    </row>
    <row r="291" spans="1:59">
      <c r="A291" s="124" t="s">
        <v>228</v>
      </c>
      <c r="B291" s="149" t="s">
        <v>228</v>
      </c>
      <c r="C291" s="31" t="s">
        <v>229</v>
      </c>
      <c r="D291" s="181" t="s">
        <v>229</v>
      </c>
      <c r="E291" s="144" t="s">
        <v>3542</v>
      </c>
      <c r="F291" s="120" t="s">
        <v>2718</v>
      </c>
      <c r="G291" s="120" t="s">
        <v>223</v>
      </c>
      <c r="H291" s="43" t="str">
        <f t="shared" si="106"/>
        <v>Urban Dallas</v>
      </c>
      <c r="I291" s="45">
        <f>INDEX(FeeCalc!M:M,MATCH(C:C,FeeCalc!F:F,0))</f>
        <v>369222.40120216989</v>
      </c>
      <c r="J291" s="45">
        <f>INDEX(FeeCalc!L:L,MATCH(C:C,FeeCalc!F:F,0))</f>
        <v>434875.57536962978</v>
      </c>
      <c r="K291" s="45">
        <f t="shared" si="107"/>
        <v>804097.97657179972</v>
      </c>
      <c r="L291" s="45">
        <f>IFERROR(IFERROR(INDEX('2023 IP UPL Data'!N:N,MATCH(A:A,'2023 IP UPL Data'!B:B,0)),INDEX('2023 IMD UPL Data'!M:M,MATCH(A:A,'2023 IMD UPL Data'!B:B,0))),0)</f>
        <v>137621.48650602414</v>
      </c>
      <c r="M291" s="45">
        <f>IFERROR((IF(F291="IMD",0,INDEX('2023 OP UPL Data'!M:M,MATCH(A:A,'2023 OP UPL Data'!B:B,0)))),0)</f>
        <v>989074.1574698796</v>
      </c>
      <c r="N291" s="45">
        <f t="shared" si="108"/>
        <v>1126695.6439759037</v>
      </c>
      <c r="O291" s="45">
        <v>348011.18646738015</v>
      </c>
      <c r="P291" s="45">
        <v>1487386.7222081416</v>
      </c>
      <c r="Q291" s="45">
        <f t="shared" si="109"/>
        <v>1835397.9086755216</v>
      </c>
      <c r="R291" s="45" t="str">
        <f t="shared" si="110"/>
        <v>Yes</v>
      </c>
      <c r="S291" s="46" t="str">
        <f t="shared" si="110"/>
        <v>Yes</v>
      </c>
      <c r="T291" s="47">
        <f>ROUND(INDEX(Summary!H:H,MATCH(H:H,Summary!A:A,0)),2)</f>
        <v>1.2</v>
      </c>
      <c r="U291" s="47">
        <f>ROUND(INDEX(Summary!I:I,MATCH(H:H,Summary!A:A,0)),2)</f>
        <v>1.08</v>
      </c>
      <c r="V291" s="85">
        <f t="shared" si="111"/>
        <v>443066.88144260383</v>
      </c>
      <c r="W291" s="85">
        <f t="shared" si="111"/>
        <v>469665.62139920017</v>
      </c>
      <c r="X291" s="45">
        <f t="shared" si="112"/>
        <v>912732.50284180394</v>
      </c>
      <c r="Y291" s="45" t="s">
        <v>3223</v>
      </c>
      <c r="Z291" s="45" t="str">
        <f t="shared" si="113"/>
        <v>No</v>
      </c>
      <c r="AA291" s="45" t="str">
        <f t="shared" si="113"/>
        <v>Yes</v>
      </c>
      <c r="AB291" s="45" t="str">
        <f t="shared" si="114"/>
        <v>Yes</v>
      </c>
      <c r="AC291" s="86">
        <f t="shared" si="127"/>
        <v>0</v>
      </c>
      <c r="AD291" s="86">
        <f t="shared" si="128"/>
        <v>1.63</v>
      </c>
      <c r="AE291" s="45">
        <f t="shared" si="129"/>
        <v>0</v>
      </c>
      <c r="AF291" s="45">
        <f t="shared" si="129"/>
        <v>708847.18785249651</v>
      </c>
      <c r="AG291" s="45">
        <f t="shared" si="115"/>
        <v>708847.18785249651</v>
      </c>
      <c r="AH291" s="47">
        <f>IF(Y291="No",0,IFERROR(ROUNDDOWN(INDEX('90% of ACR'!K:K,MATCH(H:H,'90% of ACR'!A:A,0))*IF(I291&gt;0,IF(O291&gt;0,$R$4*MAX(O291-V291,0),0),0)/I291,2),0))</f>
        <v>0</v>
      </c>
      <c r="AI291" s="86">
        <f>IF(Y291="No",0,IFERROR(ROUNDDOWN(INDEX('90% of ACR'!R:R,MATCH(H:H,'90% of ACR'!A:A,0))*IF(J291&gt;0,IF(P291&gt;0,$R$4*MAX(P291-W291,0),0),0)/J291,2),0))</f>
        <v>1.63</v>
      </c>
      <c r="AJ291" s="45">
        <f t="shared" si="116"/>
        <v>0</v>
      </c>
      <c r="AK291" s="45">
        <f t="shared" si="116"/>
        <v>708847.18785249651</v>
      </c>
      <c r="AL291" s="47">
        <f t="shared" si="117"/>
        <v>1.2</v>
      </c>
      <c r="AM291" s="47">
        <f t="shared" si="117"/>
        <v>2.71</v>
      </c>
      <c r="AN291" s="87">
        <f>IFERROR(INDEX(FeeCalc!P:P,MATCH(C291,FeeCalc!F:F,0)),0)</f>
        <v>1621579.6906943005</v>
      </c>
      <c r="AO291" s="87">
        <f>IFERROR(INDEX(FeeCalc!S:S,MATCH(C291,FeeCalc!F:F,0)),0)</f>
        <v>102091.63532918018</v>
      </c>
      <c r="AP291" s="87">
        <f t="shared" si="118"/>
        <v>1723671.3260234806</v>
      </c>
      <c r="AQ291" s="72">
        <f t="shared" si="119"/>
        <v>731408.9011141957</v>
      </c>
      <c r="AR291" s="72">
        <f t="shared" si="120"/>
        <v>365704.45055709785</v>
      </c>
      <c r="AS291" s="72">
        <f t="shared" si="121"/>
        <v>365704.45055709785</v>
      </c>
      <c r="AT291" s="72">
        <f>IFERROR(IFERROR(INDEX('2023 IP UPL Data'!L:L,MATCH(A:A,'2023 IP UPL Data'!B:B,0)),INDEX('2023 IMD UPL Data'!I:I,MATCH(A:A,'2023 IMD UPL Data'!B:B,0))),0)</f>
        <v>264110.37349397584</v>
      </c>
      <c r="AU291" s="72">
        <f>IFERROR(IF(F289="IMD",0,INDEX('2023 OP UPL Data'!J:J,MATCH(A:A,'2023 OP UPL Data'!B:B,0))),0)</f>
        <v>174469.63253012038</v>
      </c>
      <c r="AV291" s="45">
        <f t="shared" si="122"/>
        <v>438580.00602409622</v>
      </c>
      <c r="AW291" s="72">
        <f>IFERROR(IFERROR(INDEX('2023 IP UPL Data'!M:M,MATCH(A:A,'2023 IP UPL Data'!B:B,0)),INDEX('2023 IMD UPL Data'!K:K,MATCH(A:A,'2023 IMD UPL Data'!B:B,0))),0)</f>
        <v>401731.86</v>
      </c>
      <c r="AX291" s="72">
        <f>IFERROR(IF(F289="IMD",0,INDEX('2023 OP UPL Data'!L:L,MATCH(A:A,'2023 OP UPL Data'!B:B,0))),0)</f>
        <v>1163543.79</v>
      </c>
      <c r="AY291" s="45">
        <f t="shared" si="123"/>
        <v>1565275.65</v>
      </c>
      <c r="AZ291" s="72">
        <v>612121.55996135599</v>
      </c>
      <c r="BA291" s="72">
        <v>1661856.354738262</v>
      </c>
      <c r="BB291" s="72">
        <f t="shared" si="124"/>
        <v>169054.67851875216</v>
      </c>
      <c r="BC291" s="72">
        <f t="shared" si="124"/>
        <v>1192190.733339062</v>
      </c>
      <c r="BD291" s="72">
        <f t="shared" si="125"/>
        <v>1361245.4118578138</v>
      </c>
      <c r="BE291" s="94">
        <f t="shared" si="126"/>
        <v>210389.699961356</v>
      </c>
      <c r="BF291" s="94">
        <f t="shared" si="126"/>
        <v>498312.56473826198</v>
      </c>
      <c r="BG291" s="73">
        <f>IFERROR(INDEX('2023 IP UPL Data'!K:K,MATCH(A291,'2023 IP UPL Data'!B:B,0)),0)</f>
        <v>0</v>
      </c>
    </row>
    <row r="292" spans="1:59" ht="25.5">
      <c r="A292" s="124" t="s">
        <v>1613</v>
      </c>
      <c r="B292" s="149" t="s">
        <v>1613</v>
      </c>
      <c r="C292" s="31" t="s">
        <v>1615</v>
      </c>
      <c r="D292" s="181" t="s">
        <v>1615</v>
      </c>
      <c r="E292" s="144" t="s">
        <v>3543</v>
      </c>
      <c r="F292" s="120" t="s">
        <v>3388</v>
      </c>
      <c r="G292" s="120" t="s">
        <v>300</v>
      </c>
      <c r="H292" s="43" t="str">
        <f t="shared" si="106"/>
        <v>State-owned non-IMD Harris</v>
      </c>
      <c r="I292" s="45">
        <f>INDEX(FeeCalc!M:M,MATCH(C:C,FeeCalc!F:F,0))</f>
        <v>68437449.2248777</v>
      </c>
      <c r="J292" s="45">
        <f>INDEX(FeeCalc!L:L,MATCH(C:C,FeeCalc!F:F,0))</f>
        <v>50791764.717056751</v>
      </c>
      <c r="K292" s="45">
        <f t="shared" si="107"/>
        <v>119229213.94193445</v>
      </c>
      <c r="L292" s="45">
        <f>IFERROR(IFERROR(INDEX('2023 IP UPL Data'!N:N,MATCH(A:A,'2023 IP UPL Data'!B:B,0)),INDEX('2023 IMD UPL Data'!M:M,MATCH(A:A,'2023 IMD UPL Data'!B:B,0))),0)</f>
        <v>22583751.920000002</v>
      </c>
      <c r="M292" s="45">
        <f>IFERROR((IF(F292="IMD",0,INDEX('2023 OP UPL Data'!M:M,MATCH(A:A,'2023 OP UPL Data'!B:B,0)))),0)</f>
        <v>32756354.76000002</v>
      </c>
      <c r="N292" s="45">
        <f t="shared" si="108"/>
        <v>55340106.680000022</v>
      </c>
      <c r="O292" s="45">
        <v>25252149.090937197</v>
      </c>
      <c r="P292" s="45">
        <v>32140384.562597707</v>
      </c>
      <c r="Q292" s="45">
        <f t="shared" si="109"/>
        <v>57392533.653534904</v>
      </c>
      <c r="R292" s="45" t="str">
        <f t="shared" si="110"/>
        <v>Yes</v>
      </c>
      <c r="S292" s="46" t="str">
        <f t="shared" si="110"/>
        <v>Yes</v>
      </c>
      <c r="T292" s="47">
        <f>ROUND(INDEX(Summary!H:H,MATCH(H:H,Summary!A:A,0)),2)</f>
        <v>0.33</v>
      </c>
      <c r="U292" s="47">
        <f>ROUND(INDEX(Summary!I:I,MATCH(H:H,Summary!A:A,0)),2)</f>
        <v>0.64</v>
      </c>
      <c r="V292" s="85">
        <f t="shared" si="111"/>
        <v>22584358.244209643</v>
      </c>
      <c r="W292" s="85">
        <f t="shared" si="111"/>
        <v>32506729.418916322</v>
      </c>
      <c r="X292" s="45">
        <f t="shared" si="112"/>
        <v>55091087.663125962</v>
      </c>
      <c r="Y292" s="45" t="s">
        <v>3223</v>
      </c>
      <c r="Z292" s="45" t="str">
        <f t="shared" si="113"/>
        <v>No</v>
      </c>
      <c r="AA292" s="45" t="str">
        <f t="shared" si="113"/>
        <v>No</v>
      </c>
      <c r="AB292" s="45" t="str">
        <f t="shared" si="114"/>
        <v>Yes</v>
      </c>
      <c r="AC292" s="86">
        <f t="shared" si="127"/>
        <v>0.03</v>
      </c>
      <c r="AD292" s="86">
        <f t="shared" si="128"/>
        <v>0</v>
      </c>
      <c r="AE292" s="45">
        <f t="shared" si="129"/>
        <v>2053123.476746331</v>
      </c>
      <c r="AF292" s="45">
        <f t="shared" si="129"/>
        <v>0</v>
      </c>
      <c r="AG292" s="45">
        <f t="shared" si="115"/>
        <v>2053123.476746331</v>
      </c>
      <c r="AH292" s="47">
        <f>IF(Y292="No",0,IFERROR(ROUNDDOWN(INDEX('90% of ACR'!K:K,MATCH(H:H,'90% of ACR'!A:A,0))*IF(I292&gt;0,IF(O292&gt;0,$R$4*MAX(O292-V292,0),0),0)/I292,2),0))</f>
        <v>0</v>
      </c>
      <c r="AI292" s="86">
        <f>IF(Y292="No",0,IFERROR(ROUNDDOWN(INDEX('90% of ACR'!R:R,MATCH(H:H,'90% of ACR'!A:A,0))*IF(J292&gt;0,IF(P292&gt;0,$R$4*MAX(P292-W292,0),0),0)/J292,2),0))</f>
        <v>0</v>
      </c>
      <c r="AJ292" s="45">
        <f t="shared" si="116"/>
        <v>0</v>
      </c>
      <c r="AK292" s="45">
        <f t="shared" si="116"/>
        <v>0</v>
      </c>
      <c r="AL292" s="47">
        <f t="shared" si="117"/>
        <v>0.33</v>
      </c>
      <c r="AM292" s="47">
        <f t="shared" si="117"/>
        <v>0.64</v>
      </c>
      <c r="AN292" s="87">
        <f>IFERROR(INDEX(FeeCalc!P:P,MATCH(C292,FeeCalc!F:F,0)),0)</f>
        <v>55091087.663125962</v>
      </c>
      <c r="AO292" s="87">
        <f>IFERROR(INDEX(FeeCalc!S:S,MATCH(C292,FeeCalc!F:F,0)),0)</f>
        <v>3402674.071906568</v>
      </c>
      <c r="AP292" s="87">
        <f t="shared" si="118"/>
        <v>58493761.735032529</v>
      </c>
      <c r="AQ292" s="72">
        <f t="shared" si="119"/>
        <v>24820774.904549826</v>
      </c>
      <c r="AR292" s="72">
        <f t="shared" si="120"/>
        <v>12410387.452274913</v>
      </c>
      <c r="AS292" s="72">
        <f t="shared" si="121"/>
        <v>12410387.452274913</v>
      </c>
      <c r="AT292" s="72">
        <f>IFERROR(IFERROR(INDEX('2023 IP UPL Data'!L:L,MATCH(A:A,'2023 IP UPL Data'!B:B,0)),INDEX('2023 IMD UPL Data'!I:I,MATCH(A:A,'2023 IMD UPL Data'!B:B,0))),0)</f>
        <v>79421619.609999999</v>
      </c>
      <c r="AU292" s="72">
        <f>IFERROR(IF(F290="IMD",0,INDEX('2023 OP UPL Data'!J:J,MATCH(A:A,'2023 OP UPL Data'!B:B,0))),0)</f>
        <v>34493133.359999985</v>
      </c>
      <c r="AV292" s="45">
        <f t="shared" si="122"/>
        <v>113914752.96999998</v>
      </c>
      <c r="AW292" s="72">
        <f>IFERROR(IFERROR(INDEX('2023 IP UPL Data'!M:M,MATCH(A:A,'2023 IP UPL Data'!B:B,0)),INDEX('2023 IMD UPL Data'!K:K,MATCH(A:A,'2023 IMD UPL Data'!B:B,0))),0)</f>
        <v>102005371.53</v>
      </c>
      <c r="AX292" s="72">
        <f>IFERROR(IF(F290="IMD",0,INDEX('2023 OP UPL Data'!L:L,MATCH(A:A,'2023 OP UPL Data'!B:B,0))),0)</f>
        <v>67249488.120000005</v>
      </c>
      <c r="AY292" s="45">
        <f t="shared" si="123"/>
        <v>169254859.65000001</v>
      </c>
      <c r="AZ292" s="72">
        <v>104673768.7009372</v>
      </c>
      <c r="BA292" s="72">
        <v>66633517.922597691</v>
      </c>
      <c r="BB292" s="72">
        <f t="shared" si="124"/>
        <v>82089410.456727549</v>
      </c>
      <c r="BC292" s="72">
        <f t="shared" si="124"/>
        <v>34126788.503681369</v>
      </c>
      <c r="BD292" s="72">
        <f t="shared" si="125"/>
        <v>116216198.96040893</v>
      </c>
      <c r="BE292" s="94">
        <f t="shared" si="126"/>
        <v>2668397.1709371954</v>
      </c>
      <c r="BF292" s="94">
        <f t="shared" si="126"/>
        <v>0</v>
      </c>
      <c r="BG292" s="73">
        <f>IFERROR(INDEX('2023 IP UPL Data'!K:K,MATCH(A292,'2023 IP UPL Data'!B:B,0)),0)</f>
        <v>0</v>
      </c>
    </row>
    <row r="293" spans="1:59">
      <c r="A293" s="124" t="s">
        <v>126</v>
      </c>
      <c r="B293" s="149" t="s">
        <v>126</v>
      </c>
      <c r="C293" s="31" t="s">
        <v>127</v>
      </c>
      <c r="D293" s="181" t="s">
        <v>127</v>
      </c>
      <c r="E293" s="144" t="s">
        <v>3544</v>
      </c>
      <c r="F293" s="120" t="s">
        <v>1552</v>
      </c>
      <c r="G293" s="120" t="s">
        <v>1189</v>
      </c>
      <c r="H293" s="43" t="str">
        <f t="shared" si="106"/>
        <v>Children's El Paso</v>
      </c>
      <c r="I293" s="45">
        <f>INDEX(FeeCalc!M:M,MATCH(C:C,FeeCalc!F:F,0))</f>
        <v>25373903.27981877</v>
      </c>
      <c r="J293" s="45">
        <f>INDEX(FeeCalc!L:L,MATCH(C:C,FeeCalc!F:F,0))</f>
        <v>5861281.7002942692</v>
      </c>
      <c r="K293" s="45">
        <f t="shared" si="107"/>
        <v>31235184.980113037</v>
      </c>
      <c r="L293" s="45">
        <f>IFERROR(IFERROR(INDEX('2023 IP UPL Data'!N:N,MATCH(A:A,'2023 IP UPL Data'!B:B,0)),INDEX('2023 IMD UPL Data'!M:M,MATCH(A:A,'2023 IMD UPL Data'!B:B,0))),0)</f>
        <v>637335.33675159141</v>
      </c>
      <c r="M293" s="45">
        <f>IFERROR((IF(F293="IMD",0,INDEX('2023 OP UPL Data'!M:M,MATCH(A:A,'2023 OP UPL Data'!B:B,0)))),0)</f>
        <v>3531383.07433121</v>
      </c>
      <c r="N293" s="45">
        <f t="shared" si="108"/>
        <v>4168718.4110828014</v>
      </c>
      <c r="O293" s="45">
        <v>16699393.166092157</v>
      </c>
      <c r="P293" s="45">
        <v>14966116.000994954</v>
      </c>
      <c r="Q293" s="45">
        <f t="shared" si="109"/>
        <v>31665509.167087112</v>
      </c>
      <c r="R293" s="45" t="str">
        <f t="shared" si="110"/>
        <v>Yes</v>
      </c>
      <c r="S293" s="46" t="str">
        <f t="shared" si="110"/>
        <v>Yes</v>
      </c>
      <c r="T293" s="47">
        <f>ROUND(INDEX(Summary!H:H,MATCH(H:H,Summary!A:A,0)),2)</f>
        <v>0.03</v>
      </c>
      <c r="U293" s="47">
        <f>ROUND(INDEX(Summary!I:I,MATCH(H:H,Summary!A:A,0)),2)</f>
        <v>0.6</v>
      </c>
      <c r="V293" s="85">
        <f t="shared" si="111"/>
        <v>761217.09839456307</v>
      </c>
      <c r="W293" s="85">
        <f t="shared" si="111"/>
        <v>3516769.0201765615</v>
      </c>
      <c r="X293" s="45">
        <f t="shared" si="112"/>
        <v>4277986.118571125</v>
      </c>
      <c r="Y293" s="45" t="s">
        <v>3223</v>
      </c>
      <c r="Z293" s="45" t="str">
        <f t="shared" si="113"/>
        <v>Yes</v>
      </c>
      <c r="AA293" s="45" t="str">
        <f t="shared" si="113"/>
        <v>Yes</v>
      </c>
      <c r="AB293" s="45" t="str">
        <f t="shared" si="114"/>
        <v>Yes</v>
      </c>
      <c r="AC293" s="86">
        <f t="shared" si="127"/>
        <v>0.44</v>
      </c>
      <c r="AD293" s="86">
        <f t="shared" si="128"/>
        <v>1.36</v>
      </c>
      <c r="AE293" s="45">
        <f t="shared" si="129"/>
        <v>11164517.443120258</v>
      </c>
      <c r="AF293" s="45">
        <f t="shared" si="129"/>
        <v>7971343.1124002067</v>
      </c>
      <c r="AG293" s="45">
        <f t="shared" si="115"/>
        <v>19135860.555520464</v>
      </c>
      <c r="AH293" s="47">
        <f>IF(Y293="No",0,IFERROR(ROUNDDOWN(INDEX('90% of ACR'!K:K,MATCH(H:H,'90% of ACR'!A:A,0))*IF(I293&gt;0,IF(O293&gt;0,$R$4*MAX(O293-V293,0),0),0)/I293,2),0))</f>
        <v>0.43</v>
      </c>
      <c r="AI293" s="86">
        <f>IF(Y293="No",0,IFERROR(ROUNDDOWN(INDEX('90% of ACR'!R:R,MATCH(H:H,'90% of ACR'!A:A,0))*IF(J293&gt;0,IF(P293&gt;0,$R$4*MAX(P293-W293,0),0),0)/J293,2),0))</f>
        <v>1.36</v>
      </c>
      <c r="AJ293" s="45">
        <f t="shared" si="116"/>
        <v>10910778.41032207</v>
      </c>
      <c r="AK293" s="45">
        <f t="shared" si="116"/>
        <v>7971343.1124002067</v>
      </c>
      <c r="AL293" s="47">
        <f t="shared" si="117"/>
        <v>0.45999999999999996</v>
      </c>
      <c r="AM293" s="47">
        <f t="shared" si="117"/>
        <v>1.96</v>
      </c>
      <c r="AN293" s="87">
        <f>IFERROR(INDEX(FeeCalc!P:P,MATCH(C293,FeeCalc!F:F,0)),0)</f>
        <v>23160107.641293399</v>
      </c>
      <c r="AO293" s="87">
        <f>IFERROR(INDEX(FeeCalc!S:S,MATCH(C293,FeeCalc!F:F,0)),0)</f>
        <v>1413167.6317640829</v>
      </c>
      <c r="AP293" s="87">
        <f t="shared" si="118"/>
        <v>24573275.273057483</v>
      </c>
      <c r="AQ293" s="72">
        <f t="shared" si="119"/>
        <v>10427227.043167029</v>
      </c>
      <c r="AR293" s="72">
        <f t="shared" si="120"/>
        <v>5213613.5215835143</v>
      </c>
      <c r="AS293" s="72">
        <f t="shared" si="121"/>
        <v>5213613.5215835143</v>
      </c>
      <c r="AT293" s="72">
        <f>IFERROR(IFERROR(INDEX('2023 IP UPL Data'!L:L,MATCH(A:A,'2023 IP UPL Data'!B:B,0)),INDEX('2023 IMD UPL Data'!I:I,MATCH(A:A,'2023 IMD UPL Data'!B:B,0))),0)</f>
        <v>19569075.573248409</v>
      </c>
      <c r="AU293" s="72">
        <f>IFERROR(IF(F291="IMD",0,INDEX('2023 OP UPL Data'!J:J,MATCH(A:A,'2023 OP UPL Data'!B:B,0))),0)</f>
        <v>2212158.2356687896</v>
      </c>
      <c r="AV293" s="45">
        <f t="shared" si="122"/>
        <v>21781233.808917198</v>
      </c>
      <c r="AW293" s="72">
        <f>IFERROR(IFERROR(INDEX('2023 IP UPL Data'!M:M,MATCH(A:A,'2023 IP UPL Data'!B:B,0)),INDEX('2023 IMD UPL Data'!K:K,MATCH(A:A,'2023 IMD UPL Data'!B:B,0))),0)</f>
        <v>20206410.91</v>
      </c>
      <c r="AX293" s="72">
        <f>IFERROR(IF(F291="IMD",0,INDEX('2023 OP UPL Data'!L:L,MATCH(A:A,'2023 OP UPL Data'!B:B,0))),0)</f>
        <v>5743541.3099999996</v>
      </c>
      <c r="AY293" s="45">
        <f t="shared" si="123"/>
        <v>25949952.219999999</v>
      </c>
      <c r="AZ293" s="72">
        <v>36268468.739340566</v>
      </c>
      <c r="BA293" s="72">
        <v>17178274.236663744</v>
      </c>
      <c r="BB293" s="72">
        <f t="shared" si="124"/>
        <v>35507251.640946001</v>
      </c>
      <c r="BC293" s="72">
        <f t="shared" si="124"/>
        <v>13661505.216487182</v>
      </c>
      <c r="BD293" s="72">
        <f t="shared" si="125"/>
        <v>49168756.857433185</v>
      </c>
      <c r="BE293" s="94">
        <f t="shared" si="126"/>
        <v>16062057.829340566</v>
      </c>
      <c r="BF293" s="94">
        <f t="shared" si="126"/>
        <v>11434732.926663745</v>
      </c>
      <c r="BG293" s="73">
        <f>IFERROR(INDEX('2023 IP UPL Data'!K:K,MATCH(A293,'2023 IP UPL Data'!B:B,0)),0)</f>
        <v>0</v>
      </c>
    </row>
    <row r="294" spans="1:59">
      <c r="A294" s="124" t="s">
        <v>710</v>
      </c>
      <c r="B294" s="149" t="s">
        <v>710</v>
      </c>
      <c r="C294" s="31" t="s">
        <v>711</v>
      </c>
      <c r="D294" s="181" t="s">
        <v>711</v>
      </c>
      <c r="E294" s="144" t="s">
        <v>3098</v>
      </c>
      <c r="F294" s="120" t="s">
        <v>2768</v>
      </c>
      <c r="G294" s="120" t="s">
        <v>227</v>
      </c>
      <c r="H294" s="43" t="str">
        <f t="shared" si="106"/>
        <v>Rural MRSA West</v>
      </c>
      <c r="I294" s="45">
        <f>INDEX(FeeCalc!M:M,MATCH(C:C,FeeCalc!F:F,0))</f>
        <v>9302.3098033425467</v>
      </c>
      <c r="J294" s="45">
        <f>INDEX(FeeCalc!L:L,MATCH(C:C,FeeCalc!F:F,0))</f>
        <v>234895.29212965295</v>
      </c>
      <c r="K294" s="45">
        <f t="shared" si="107"/>
        <v>244197.60193299549</v>
      </c>
      <c r="L294" s="45">
        <f>IFERROR(IFERROR(INDEX('2023 IP UPL Data'!N:N,MATCH(A:A,'2023 IP UPL Data'!B:B,0)),INDEX('2023 IMD UPL Data'!M:M,MATCH(A:A,'2023 IMD UPL Data'!B:B,0))),0)</f>
        <v>1924.5389266418206</v>
      </c>
      <c r="M294" s="45">
        <f>IFERROR((IF(F294="IMD",0,INDEX('2023 OP UPL Data'!M:M,MATCH(A:A,'2023 OP UPL Data'!B:B,0)))),0)</f>
        <v>43078.611500000006</v>
      </c>
      <c r="N294" s="45">
        <f t="shared" si="108"/>
        <v>45003.150426641827</v>
      </c>
      <c r="O294" s="45">
        <v>1214.3829665018784</v>
      </c>
      <c r="P294" s="45">
        <v>112278.61567360008</v>
      </c>
      <c r="Q294" s="45">
        <f t="shared" si="109"/>
        <v>113492.99864010196</v>
      </c>
      <c r="R294" s="45" t="str">
        <f t="shared" si="110"/>
        <v>Yes</v>
      </c>
      <c r="S294" s="46" t="str">
        <f t="shared" si="110"/>
        <v>Yes</v>
      </c>
      <c r="T294" s="47">
        <f>ROUND(INDEX(Summary!H:H,MATCH(H:H,Summary!A:A,0)),2)</f>
        <v>0</v>
      </c>
      <c r="U294" s="47">
        <f>ROUND(INDEX(Summary!I:I,MATCH(H:H,Summary!A:A,0)),2)</f>
        <v>0.28999999999999998</v>
      </c>
      <c r="V294" s="85">
        <f t="shared" si="111"/>
        <v>0</v>
      </c>
      <c r="W294" s="85">
        <f t="shared" si="111"/>
        <v>68119.634717599358</v>
      </c>
      <c r="X294" s="45">
        <f t="shared" si="112"/>
        <v>68119.634717599358</v>
      </c>
      <c r="Y294" s="45" t="s">
        <v>3223</v>
      </c>
      <c r="Z294" s="45" t="str">
        <f t="shared" si="113"/>
        <v>No</v>
      </c>
      <c r="AA294" s="45" t="str">
        <f t="shared" si="113"/>
        <v>Yes</v>
      </c>
      <c r="AB294" s="45" t="str">
        <f t="shared" si="114"/>
        <v>Yes</v>
      </c>
      <c r="AC294" s="86">
        <f t="shared" si="127"/>
        <v>0.09</v>
      </c>
      <c r="AD294" s="86">
        <f t="shared" si="128"/>
        <v>0.13</v>
      </c>
      <c r="AE294" s="45">
        <f t="shared" si="129"/>
        <v>837.20788230082917</v>
      </c>
      <c r="AF294" s="45">
        <f t="shared" si="129"/>
        <v>30536.387976854883</v>
      </c>
      <c r="AG294" s="45">
        <f t="shared" si="115"/>
        <v>31373.595859155714</v>
      </c>
      <c r="AH294" s="47">
        <f>IF(Y294="No",0,IFERROR(ROUNDDOWN(INDEX('90% of ACR'!K:K,MATCH(H:H,'90% of ACR'!A:A,0))*IF(I294&gt;0,IF(O294&gt;0,$R$4*MAX(O294-V294,0),0),0)/I294,2),0))</f>
        <v>0</v>
      </c>
      <c r="AI294" s="86">
        <f>IF(Y294="No",0,IFERROR(ROUNDDOWN(INDEX('90% of ACR'!R:R,MATCH(H:H,'90% of ACR'!A:A,0))*IF(J294&gt;0,IF(P294&gt;0,$R$4*MAX(P294-W294,0),0),0)/J294,2),0))</f>
        <v>0.12</v>
      </c>
      <c r="AJ294" s="45">
        <f t="shared" si="116"/>
        <v>0</v>
      </c>
      <c r="AK294" s="45">
        <f t="shared" si="116"/>
        <v>28187.435055558355</v>
      </c>
      <c r="AL294" s="47">
        <f t="shared" si="117"/>
        <v>0</v>
      </c>
      <c r="AM294" s="47">
        <f t="shared" si="117"/>
        <v>0.41</v>
      </c>
      <c r="AN294" s="87">
        <f>IFERROR(INDEX(FeeCalc!P:P,MATCH(C294,FeeCalc!F:F,0)),0)</f>
        <v>96307.069773157709</v>
      </c>
      <c r="AO294" s="87">
        <f>IFERROR(INDEX(FeeCalc!S:S,MATCH(C294,FeeCalc!F:F,0)),0)</f>
        <v>5977.525447640126</v>
      </c>
      <c r="AP294" s="87">
        <f t="shared" si="118"/>
        <v>102284.59522079784</v>
      </c>
      <c r="AQ294" s="72">
        <f t="shared" si="119"/>
        <v>43402.626859231597</v>
      </c>
      <c r="AR294" s="72">
        <f t="shared" si="120"/>
        <v>21701.313429615799</v>
      </c>
      <c r="AS294" s="72">
        <f t="shared" si="121"/>
        <v>21701.313429615799</v>
      </c>
      <c r="AT294" s="72">
        <f>IFERROR(IFERROR(INDEX('2023 IP UPL Data'!L:L,MATCH(A:A,'2023 IP UPL Data'!B:B,0)),INDEX('2023 IMD UPL Data'!I:I,MATCH(A:A,'2023 IMD UPL Data'!B:B,0))),0)</f>
        <v>6973.6610733581801</v>
      </c>
      <c r="AU294" s="72">
        <f>IFERROR(IF(F292="IMD",0,INDEX('2023 OP UPL Data'!J:J,MATCH(A:A,'2023 OP UPL Data'!B:B,0))),0)</f>
        <v>62924.388499999994</v>
      </c>
      <c r="AV294" s="45">
        <f t="shared" si="122"/>
        <v>69898.049573358177</v>
      </c>
      <c r="AW294" s="72">
        <f>IFERROR(IFERROR(INDEX('2023 IP UPL Data'!M:M,MATCH(A:A,'2023 IP UPL Data'!B:B,0)),INDEX('2023 IMD UPL Data'!K:K,MATCH(A:A,'2023 IMD UPL Data'!B:B,0))),0)</f>
        <v>8898.2000000000007</v>
      </c>
      <c r="AX294" s="72">
        <f>IFERROR(IF(F292="IMD",0,INDEX('2023 OP UPL Data'!L:L,MATCH(A:A,'2023 OP UPL Data'!B:B,0))),0)</f>
        <v>106003</v>
      </c>
      <c r="AY294" s="45">
        <f t="shared" si="123"/>
        <v>114901.2</v>
      </c>
      <c r="AZ294" s="72">
        <v>8188.0440398600585</v>
      </c>
      <c r="BA294" s="72">
        <v>175203.00417360009</v>
      </c>
      <c r="BB294" s="72">
        <f t="shared" si="124"/>
        <v>8188.0440398600585</v>
      </c>
      <c r="BC294" s="72">
        <f t="shared" si="124"/>
        <v>107083.36945600073</v>
      </c>
      <c r="BD294" s="72">
        <f t="shared" si="125"/>
        <v>115271.41349586078</v>
      </c>
      <c r="BE294" s="94">
        <f t="shared" si="126"/>
        <v>0</v>
      </c>
      <c r="BF294" s="94">
        <f t="shared" si="126"/>
        <v>69200.004173600086</v>
      </c>
      <c r="BG294" s="73">
        <f>IFERROR(INDEX('2023 IP UPL Data'!K:K,MATCH(A294,'2023 IP UPL Data'!B:B,0)),0)</f>
        <v>0</v>
      </c>
    </row>
    <row r="295" spans="1:59">
      <c r="A295" s="124" t="s">
        <v>512</v>
      </c>
      <c r="B295" s="149" t="s">
        <v>512</v>
      </c>
      <c r="C295" s="31" t="s">
        <v>513</v>
      </c>
      <c r="D295" s="181" t="s">
        <v>513</v>
      </c>
      <c r="E295" s="144" t="s">
        <v>3146</v>
      </c>
      <c r="F295" s="120" t="s">
        <v>2768</v>
      </c>
      <c r="G295" s="120" t="s">
        <v>227</v>
      </c>
      <c r="H295" s="43" t="str">
        <f t="shared" si="106"/>
        <v>Rural MRSA West</v>
      </c>
      <c r="I295" s="45">
        <f>INDEX(FeeCalc!M:M,MATCH(C:C,FeeCalc!F:F,0))</f>
        <v>550646.96671139786</v>
      </c>
      <c r="J295" s="45">
        <f>INDEX(FeeCalc!L:L,MATCH(C:C,FeeCalc!F:F,0))</f>
        <v>329319.51836814574</v>
      </c>
      <c r="K295" s="45">
        <f t="shared" si="107"/>
        <v>879966.48507954367</v>
      </c>
      <c r="L295" s="45">
        <f>IFERROR(IFERROR(INDEX('2023 IP UPL Data'!N:N,MATCH(A:A,'2023 IP UPL Data'!B:B,0)),INDEX('2023 IMD UPL Data'!M:M,MATCH(A:A,'2023 IMD UPL Data'!B:B,0))),0)</f>
        <v>-37559.784349676542</v>
      </c>
      <c r="M295" s="45">
        <f>IFERROR((IF(F295="IMD",0,INDEX('2023 OP UPL Data'!M:M,MATCH(A:A,'2023 OP UPL Data'!B:B,0)))),0)</f>
        <v>62334.229500000001</v>
      </c>
      <c r="N295" s="45">
        <f t="shared" si="108"/>
        <v>24774.44515032346</v>
      </c>
      <c r="O295" s="45">
        <v>-23007.991151096474</v>
      </c>
      <c r="P295" s="45">
        <v>74728.615536285259</v>
      </c>
      <c r="Q295" s="45">
        <f t="shared" si="109"/>
        <v>51720.624385188785</v>
      </c>
      <c r="R295" s="45" t="str">
        <f t="shared" si="110"/>
        <v>No</v>
      </c>
      <c r="S295" s="46" t="str">
        <f t="shared" si="110"/>
        <v>Yes</v>
      </c>
      <c r="T295" s="47">
        <f>ROUND(INDEX(Summary!H:H,MATCH(H:H,Summary!A:A,0)),2)</f>
        <v>0</v>
      </c>
      <c r="U295" s="47">
        <f>ROUND(INDEX(Summary!I:I,MATCH(H:H,Summary!A:A,0)),2)</f>
        <v>0.28999999999999998</v>
      </c>
      <c r="V295" s="85">
        <f t="shared" si="111"/>
        <v>0</v>
      </c>
      <c r="W295" s="85">
        <f t="shared" si="111"/>
        <v>95502.660326762256</v>
      </c>
      <c r="X295" s="45">
        <f t="shared" si="112"/>
        <v>95502.660326762256</v>
      </c>
      <c r="Y295" s="45" t="s">
        <v>3223</v>
      </c>
      <c r="Z295" s="45" t="str">
        <f t="shared" si="113"/>
        <v>No</v>
      </c>
      <c r="AA295" s="45" t="str">
        <f t="shared" si="113"/>
        <v>No</v>
      </c>
      <c r="AB295" s="45" t="str">
        <f t="shared" si="114"/>
        <v>No</v>
      </c>
      <c r="AC295" s="86">
        <f t="shared" si="127"/>
        <v>0</v>
      </c>
      <c r="AD295" s="86">
        <f t="shared" si="128"/>
        <v>0</v>
      </c>
      <c r="AE295" s="45">
        <f t="shared" si="129"/>
        <v>0</v>
      </c>
      <c r="AF295" s="45">
        <f t="shared" si="129"/>
        <v>0</v>
      </c>
      <c r="AG295" s="45">
        <f t="shared" si="115"/>
        <v>0</v>
      </c>
      <c r="AH295" s="47">
        <f>IF(Y295="No",0,IFERROR(ROUNDDOWN(INDEX('90% of ACR'!K:K,MATCH(H:H,'90% of ACR'!A:A,0))*IF(I295&gt;0,IF(O295&gt;0,$R$4*MAX(O295-V295,0),0),0)/I295,2),0))</f>
        <v>0</v>
      </c>
      <c r="AI295" s="86">
        <f>IF(Y295="No",0,IFERROR(ROUNDDOWN(INDEX('90% of ACR'!R:R,MATCH(H:H,'90% of ACR'!A:A,0))*IF(J295&gt;0,IF(P295&gt;0,$R$4*MAX(P295-W295,0),0),0)/J295,2),0))</f>
        <v>0</v>
      </c>
      <c r="AJ295" s="45">
        <f t="shared" si="116"/>
        <v>0</v>
      </c>
      <c r="AK295" s="45">
        <f t="shared" si="116"/>
        <v>0</v>
      </c>
      <c r="AL295" s="47">
        <f t="shared" si="117"/>
        <v>0</v>
      </c>
      <c r="AM295" s="47">
        <f t="shared" si="117"/>
        <v>0.28999999999999998</v>
      </c>
      <c r="AN295" s="87">
        <f>IFERROR(INDEX(FeeCalc!P:P,MATCH(C295,FeeCalc!F:F,0)),0)</f>
        <v>95502.660326762256</v>
      </c>
      <c r="AO295" s="87">
        <f>IFERROR(INDEX(FeeCalc!S:S,MATCH(C295,FeeCalc!F:F,0)),0)</f>
        <v>5909.135075074284</v>
      </c>
      <c r="AP295" s="87">
        <f t="shared" si="118"/>
        <v>101411.79540183654</v>
      </c>
      <c r="AQ295" s="72">
        <f t="shared" si="119"/>
        <v>43032.269966452106</v>
      </c>
      <c r="AR295" s="72">
        <f t="shared" si="120"/>
        <v>21516.134983226053</v>
      </c>
      <c r="AS295" s="72">
        <f t="shared" si="121"/>
        <v>21516.134983226053</v>
      </c>
      <c r="AT295" s="72">
        <f>IFERROR(IFERROR(INDEX('2023 IP UPL Data'!L:L,MATCH(A:A,'2023 IP UPL Data'!B:B,0)),INDEX('2023 IMD UPL Data'!I:I,MATCH(A:A,'2023 IMD UPL Data'!B:B,0))),0)</f>
        <v>230998.26434967655</v>
      </c>
      <c r="AU295" s="72">
        <f>IFERROR(IF(F293="IMD",0,INDEX('2023 OP UPL Data'!J:J,MATCH(A:A,'2023 OP UPL Data'!B:B,0))),0)</f>
        <v>115718.54049999999</v>
      </c>
      <c r="AV295" s="45">
        <f t="shared" si="122"/>
        <v>346716.80484967656</v>
      </c>
      <c r="AW295" s="72">
        <f>IFERROR(IFERROR(INDEX('2023 IP UPL Data'!M:M,MATCH(A:A,'2023 IP UPL Data'!B:B,0)),INDEX('2023 IMD UPL Data'!K:K,MATCH(A:A,'2023 IMD UPL Data'!B:B,0))),0)</f>
        <v>193438.48</v>
      </c>
      <c r="AX295" s="72">
        <f>IFERROR(IF(F293="IMD",0,INDEX('2023 OP UPL Data'!L:L,MATCH(A:A,'2023 OP UPL Data'!B:B,0))),0)</f>
        <v>178052.77</v>
      </c>
      <c r="AY295" s="45">
        <f t="shared" si="123"/>
        <v>371491.25</v>
      </c>
      <c r="AZ295" s="72">
        <v>207990.27319858008</v>
      </c>
      <c r="BA295" s="72">
        <v>190447.15603628525</v>
      </c>
      <c r="BB295" s="72">
        <f t="shared" si="124"/>
        <v>207990.27319858008</v>
      </c>
      <c r="BC295" s="72">
        <f t="shared" si="124"/>
        <v>94944.495709522991</v>
      </c>
      <c r="BD295" s="72">
        <f t="shared" si="125"/>
        <v>302934.76890810311</v>
      </c>
      <c r="BE295" s="94">
        <f t="shared" si="126"/>
        <v>14551.793198580068</v>
      </c>
      <c r="BF295" s="94">
        <f t="shared" si="126"/>
        <v>12394.386036285257</v>
      </c>
      <c r="BG295" s="73">
        <f>IFERROR(INDEX('2023 IP UPL Data'!K:K,MATCH(A295,'2023 IP UPL Data'!B:B,0)),0)</f>
        <v>0</v>
      </c>
    </row>
    <row r="296" spans="1:59">
      <c r="A296" s="124" t="s">
        <v>892</v>
      </c>
      <c r="B296" s="149" t="s">
        <v>892</v>
      </c>
      <c r="C296" s="31" t="s">
        <v>893</v>
      </c>
      <c r="D296" s="181" t="s">
        <v>893</v>
      </c>
      <c r="E296" s="144" t="s">
        <v>2996</v>
      </c>
      <c r="F296" s="120" t="s">
        <v>2768</v>
      </c>
      <c r="G296" s="120" t="s">
        <v>227</v>
      </c>
      <c r="H296" s="43" t="str">
        <f t="shared" si="106"/>
        <v>Rural MRSA West</v>
      </c>
      <c r="I296" s="45">
        <f>INDEX(FeeCalc!M:M,MATCH(C:C,FeeCalc!F:F,0))</f>
        <v>52025.305297234881</v>
      </c>
      <c r="J296" s="45">
        <f>INDEX(FeeCalc!L:L,MATCH(C:C,FeeCalc!F:F,0))</f>
        <v>330320.75149319897</v>
      </c>
      <c r="K296" s="45">
        <f t="shared" si="107"/>
        <v>382346.05679043382</v>
      </c>
      <c r="L296" s="45">
        <f>IFERROR(IFERROR(INDEX('2023 IP UPL Data'!N:N,MATCH(A:A,'2023 IP UPL Data'!B:B,0)),INDEX('2023 IMD UPL Data'!M:M,MATCH(A:A,'2023 IMD UPL Data'!B:B,0))),0)</f>
        <v>70120.915242261166</v>
      </c>
      <c r="M296" s="45">
        <f>IFERROR((IF(F296="IMD",0,INDEX('2023 OP UPL Data'!M:M,MATCH(A:A,'2023 OP UPL Data'!B:B,0)))),0)</f>
        <v>120974.1885</v>
      </c>
      <c r="N296" s="45">
        <f t="shared" si="108"/>
        <v>191095.10374226118</v>
      </c>
      <c r="O296" s="45">
        <v>17291.025102699932</v>
      </c>
      <c r="P296" s="45">
        <v>75379.493049549739</v>
      </c>
      <c r="Q296" s="45">
        <f t="shared" si="109"/>
        <v>92670.518152249671</v>
      </c>
      <c r="R296" s="45" t="str">
        <f t="shared" si="110"/>
        <v>Yes</v>
      </c>
      <c r="S296" s="46" t="str">
        <f t="shared" si="110"/>
        <v>Yes</v>
      </c>
      <c r="T296" s="47">
        <f>ROUND(INDEX(Summary!H:H,MATCH(H:H,Summary!A:A,0)),2)</f>
        <v>0</v>
      </c>
      <c r="U296" s="47">
        <f>ROUND(INDEX(Summary!I:I,MATCH(H:H,Summary!A:A,0)),2)</f>
        <v>0.28999999999999998</v>
      </c>
      <c r="V296" s="85">
        <f t="shared" si="111"/>
        <v>0</v>
      </c>
      <c r="W296" s="85">
        <f t="shared" si="111"/>
        <v>95793.017933027702</v>
      </c>
      <c r="X296" s="45">
        <f t="shared" si="112"/>
        <v>95793.017933027702</v>
      </c>
      <c r="Y296" s="45" t="s">
        <v>3223</v>
      </c>
      <c r="Z296" s="45" t="str">
        <f t="shared" si="113"/>
        <v>No</v>
      </c>
      <c r="AA296" s="45" t="str">
        <f t="shared" si="113"/>
        <v>No</v>
      </c>
      <c r="AB296" s="45" t="str">
        <f t="shared" si="114"/>
        <v>Yes</v>
      </c>
      <c r="AC296" s="86">
        <f t="shared" si="127"/>
        <v>0.23</v>
      </c>
      <c r="AD296" s="86">
        <f t="shared" si="128"/>
        <v>0</v>
      </c>
      <c r="AE296" s="45">
        <f t="shared" si="129"/>
        <v>11965.820218364022</v>
      </c>
      <c r="AF296" s="45">
        <f t="shared" si="129"/>
        <v>0</v>
      </c>
      <c r="AG296" s="45">
        <f t="shared" si="115"/>
        <v>11965.820218364022</v>
      </c>
      <c r="AH296" s="47">
        <f>IF(Y296="No",0,IFERROR(ROUNDDOWN(INDEX('90% of ACR'!K:K,MATCH(H:H,'90% of ACR'!A:A,0))*IF(I296&gt;0,IF(O296&gt;0,$R$4*MAX(O296-V296,0),0),0)/I296,2),0))</f>
        <v>0</v>
      </c>
      <c r="AI296" s="86">
        <f>IF(Y296="No",0,IFERROR(ROUNDDOWN(INDEX('90% of ACR'!R:R,MATCH(H:H,'90% of ACR'!A:A,0))*IF(J296&gt;0,IF(P296&gt;0,$R$4*MAX(P296-W296,0),0),0)/J296,2),0))</f>
        <v>0</v>
      </c>
      <c r="AJ296" s="45">
        <f t="shared" si="116"/>
        <v>0</v>
      </c>
      <c r="AK296" s="45">
        <f t="shared" si="116"/>
        <v>0</v>
      </c>
      <c r="AL296" s="47">
        <f t="shared" si="117"/>
        <v>0</v>
      </c>
      <c r="AM296" s="47">
        <f t="shared" si="117"/>
        <v>0.28999999999999998</v>
      </c>
      <c r="AN296" s="87">
        <f>IFERROR(INDEX(FeeCalc!P:P,MATCH(C296,FeeCalc!F:F,0)),0)</f>
        <v>95793.017933027702</v>
      </c>
      <c r="AO296" s="87">
        <f>IFERROR(INDEX(FeeCalc!S:S,MATCH(C296,FeeCalc!F:F,0)),0)</f>
        <v>5906.1956831420002</v>
      </c>
      <c r="AP296" s="87">
        <f t="shared" si="118"/>
        <v>101699.2136161697</v>
      </c>
      <c r="AQ296" s="72">
        <f t="shared" si="119"/>
        <v>43154.230712176526</v>
      </c>
      <c r="AR296" s="72">
        <f t="shared" si="120"/>
        <v>21577.115356088263</v>
      </c>
      <c r="AS296" s="72">
        <f t="shared" si="121"/>
        <v>21577.115356088263</v>
      </c>
      <c r="AT296" s="72">
        <f>IFERROR(IFERROR(INDEX('2023 IP UPL Data'!L:L,MATCH(A:A,'2023 IP UPL Data'!B:B,0)),INDEX('2023 IMD UPL Data'!I:I,MATCH(A:A,'2023 IMD UPL Data'!B:B,0))),0)</f>
        <v>21857.764757738834</v>
      </c>
      <c r="AU296" s="72">
        <f>IFERROR(IF(F294="IMD",0,INDEX('2023 OP UPL Data'!J:J,MATCH(A:A,'2023 OP UPL Data'!B:B,0))),0)</f>
        <v>126806.08149999999</v>
      </c>
      <c r="AV296" s="45">
        <f t="shared" si="122"/>
        <v>148663.84625773883</v>
      </c>
      <c r="AW296" s="72">
        <f>IFERROR(IFERROR(INDEX('2023 IP UPL Data'!M:M,MATCH(A:A,'2023 IP UPL Data'!B:B,0)),INDEX('2023 IMD UPL Data'!K:K,MATCH(A:A,'2023 IMD UPL Data'!B:B,0))),0)</f>
        <v>91978.68</v>
      </c>
      <c r="AX296" s="72">
        <f>IFERROR(IF(F294="IMD",0,INDEX('2023 OP UPL Data'!L:L,MATCH(A:A,'2023 OP UPL Data'!B:B,0))),0)</f>
        <v>247780.27</v>
      </c>
      <c r="AY296" s="45">
        <f t="shared" si="123"/>
        <v>339758.94999999995</v>
      </c>
      <c r="AZ296" s="72">
        <v>39148.789860438766</v>
      </c>
      <c r="BA296" s="72">
        <v>202185.57454954972</v>
      </c>
      <c r="BB296" s="72">
        <f t="shared" si="124"/>
        <v>39148.789860438766</v>
      </c>
      <c r="BC296" s="72">
        <f t="shared" si="124"/>
        <v>106392.55661652202</v>
      </c>
      <c r="BD296" s="72">
        <f t="shared" si="125"/>
        <v>145541.34647696078</v>
      </c>
      <c r="BE296" s="94">
        <f t="shared" si="126"/>
        <v>0</v>
      </c>
      <c r="BF296" s="94">
        <f t="shared" si="126"/>
        <v>0</v>
      </c>
      <c r="BG296" s="73">
        <f>IFERROR(INDEX('2023 IP UPL Data'!K:K,MATCH(A296,'2023 IP UPL Data'!B:B,0)),0)</f>
        <v>0</v>
      </c>
    </row>
    <row r="297" spans="1:59">
      <c r="A297" s="124" t="s">
        <v>1072</v>
      </c>
      <c r="B297" s="149" t="s">
        <v>1072</v>
      </c>
      <c r="C297" s="31" t="s">
        <v>1073</v>
      </c>
      <c r="D297" s="181" t="s">
        <v>1073</v>
      </c>
      <c r="E297" s="144" t="s">
        <v>3374</v>
      </c>
      <c r="F297" s="120" t="s">
        <v>2768</v>
      </c>
      <c r="G297" s="120" t="s">
        <v>300</v>
      </c>
      <c r="H297" s="43" t="str">
        <f t="shared" si="106"/>
        <v>Rural Harris</v>
      </c>
      <c r="I297" s="45">
        <f>INDEX(FeeCalc!M:M,MATCH(C:C,FeeCalc!F:F,0))</f>
        <v>116478.12323365506</v>
      </c>
      <c r="J297" s="45">
        <f>INDEX(FeeCalc!L:L,MATCH(C:C,FeeCalc!F:F,0))</f>
        <v>721997.6939711204</v>
      </c>
      <c r="K297" s="45">
        <f t="shared" si="107"/>
        <v>838475.81720477552</v>
      </c>
      <c r="L297" s="45">
        <f>IFERROR(IFERROR(INDEX('2023 IP UPL Data'!N:N,MATCH(A:A,'2023 IP UPL Data'!B:B,0)),INDEX('2023 IMD UPL Data'!M:M,MATCH(A:A,'2023 IMD UPL Data'!B:B,0))),0)</f>
        <v>-17674.455594262778</v>
      </c>
      <c r="M297" s="45">
        <f>IFERROR((IF(F297="IMD",0,INDEX('2023 OP UPL Data'!M:M,MATCH(A:A,'2023 OP UPL Data'!B:B,0)))),0)</f>
        <v>114163.52565891476</v>
      </c>
      <c r="N297" s="45">
        <f t="shared" si="108"/>
        <v>96489.070064651984</v>
      </c>
      <c r="O297" s="45">
        <v>-72273.598987764897</v>
      </c>
      <c r="P297" s="45">
        <v>113706.36058922985</v>
      </c>
      <c r="Q297" s="45">
        <f t="shared" si="109"/>
        <v>41432.761601464954</v>
      </c>
      <c r="R297" s="45" t="str">
        <f t="shared" si="110"/>
        <v>No</v>
      </c>
      <c r="S297" s="46" t="str">
        <f t="shared" si="110"/>
        <v>Yes</v>
      </c>
      <c r="T297" s="47">
        <f>ROUND(INDEX(Summary!H:H,MATCH(H:H,Summary!A:A,0)),2)</f>
        <v>0</v>
      </c>
      <c r="U297" s="47">
        <f>ROUND(INDEX(Summary!I:I,MATCH(H:H,Summary!A:A,0)),2)</f>
        <v>0.86</v>
      </c>
      <c r="V297" s="85">
        <f t="shared" si="111"/>
        <v>0</v>
      </c>
      <c r="W297" s="85">
        <f t="shared" si="111"/>
        <v>620918.01681516354</v>
      </c>
      <c r="X297" s="45">
        <f t="shared" si="112"/>
        <v>620918.01681516354</v>
      </c>
      <c r="Y297" s="45" t="s">
        <v>3223</v>
      </c>
      <c r="Z297" s="45" t="str">
        <f t="shared" si="113"/>
        <v>No</v>
      </c>
      <c r="AA297" s="45" t="str">
        <f t="shared" si="113"/>
        <v>No</v>
      </c>
      <c r="AB297" s="45" t="str">
        <f t="shared" si="114"/>
        <v>No</v>
      </c>
      <c r="AC297" s="86">
        <f t="shared" si="127"/>
        <v>0</v>
      </c>
      <c r="AD297" s="86">
        <f t="shared" si="128"/>
        <v>0</v>
      </c>
      <c r="AE297" s="45">
        <f t="shared" si="129"/>
        <v>0</v>
      </c>
      <c r="AF297" s="45">
        <f t="shared" si="129"/>
        <v>0</v>
      </c>
      <c r="AG297" s="45">
        <f t="shared" si="115"/>
        <v>0</v>
      </c>
      <c r="AH297" s="47">
        <f>IF(Y297="No",0,IFERROR(ROUNDDOWN(INDEX('90% of ACR'!K:K,MATCH(H:H,'90% of ACR'!A:A,0))*IF(I297&gt;0,IF(O297&gt;0,$R$4*MAX(O297-V297,0),0),0)/I297,2),0))</f>
        <v>0</v>
      </c>
      <c r="AI297" s="86">
        <f>IF(Y297="No",0,IFERROR(ROUNDDOWN(INDEX('90% of ACR'!R:R,MATCH(H:H,'90% of ACR'!A:A,0))*IF(J297&gt;0,IF(P297&gt;0,$R$4*MAX(P297-W297,0),0),0)/J297,2),0))</f>
        <v>0</v>
      </c>
      <c r="AJ297" s="45">
        <f t="shared" si="116"/>
        <v>0</v>
      </c>
      <c r="AK297" s="45">
        <f t="shared" si="116"/>
        <v>0</v>
      </c>
      <c r="AL297" s="47">
        <f t="shared" si="117"/>
        <v>0</v>
      </c>
      <c r="AM297" s="47">
        <f t="shared" si="117"/>
        <v>0.86</v>
      </c>
      <c r="AN297" s="87">
        <f>IFERROR(INDEX(FeeCalc!P:P,MATCH(C297,FeeCalc!F:F,0)),0)</f>
        <v>620918.01681516354</v>
      </c>
      <c r="AO297" s="87">
        <f>IFERROR(INDEX(FeeCalc!S:S,MATCH(C297,FeeCalc!F:F,0)),0)</f>
        <v>38354.670420791212</v>
      </c>
      <c r="AP297" s="87">
        <f t="shared" si="118"/>
        <v>659272.6872359548</v>
      </c>
      <c r="AQ297" s="72">
        <f t="shared" si="119"/>
        <v>279750.49792020721</v>
      </c>
      <c r="AR297" s="72">
        <f t="shared" si="120"/>
        <v>139875.24896010361</v>
      </c>
      <c r="AS297" s="72">
        <f t="shared" si="121"/>
        <v>139875.24896010361</v>
      </c>
      <c r="AT297" s="72">
        <f>IFERROR(IFERROR(INDEX('2023 IP UPL Data'!L:L,MATCH(A:A,'2023 IP UPL Data'!B:B,0)),INDEX('2023 IMD UPL Data'!I:I,MATCH(A:A,'2023 IMD UPL Data'!B:B,0))),0)</f>
        <v>154732.41559426277</v>
      </c>
      <c r="AU297" s="72">
        <f>IFERROR(IF(F295="IMD",0,INDEX('2023 OP UPL Data'!J:J,MATCH(A:A,'2023 OP UPL Data'!B:B,0))),0)</f>
        <v>355312.24434108526</v>
      </c>
      <c r="AV297" s="45">
        <f t="shared" si="122"/>
        <v>510044.65993534803</v>
      </c>
      <c r="AW297" s="72">
        <f>IFERROR(IFERROR(INDEX('2023 IP UPL Data'!M:M,MATCH(A:A,'2023 IP UPL Data'!B:B,0)),INDEX('2023 IMD UPL Data'!K:K,MATCH(A:A,'2023 IMD UPL Data'!B:B,0))),0)</f>
        <v>137057.96</v>
      </c>
      <c r="AX297" s="72">
        <f>IFERROR(IF(F295="IMD",0,INDEX('2023 OP UPL Data'!L:L,MATCH(A:A,'2023 OP UPL Data'!B:B,0))),0)</f>
        <v>469475.77</v>
      </c>
      <c r="AY297" s="45">
        <f t="shared" si="123"/>
        <v>606533.73</v>
      </c>
      <c r="AZ297" s="72">
        <v>82458.816606497872</v>
      </c>
      <c r="BA297" s="72">
        <v>469018.60493031511</v>
      </c>
      <c r="BB297" s="72">
        <f t="shared" si="124"/>
        <v>82458.816606497872</v>
      </c>
      <c r="BC297" s="72">
        <f t="shared" si="124"/>
        <v>0</v>
      </c>
      <c r="BD297" s="72">
        <f t="shared" si="125"/>
        <v>0</v>
      </c>
      <c r="BE297" s="94">
        <f t="shared" si="126"/>
        <v>0</v>
      </c>
      <c r="BF297" s="94">
        <f t="shared" si="126"/>
        <v>0</v>
      </c>
      <c r="BG297" s="73">
        <f>IFERROR(INDEX('2023 IP UPL Data'!K:K,MATCH(A297,'2023 IP UPL Data'!B:B,0)),0)</f>
        <v>0</v>
      </c>
    </row>
    <row r="298" spans="1:59">
      <c r="A298" s="124" t="s">
        <v>1183</v>
      </c>
      <c r="B298" s="149" t="s">
        <v>1183</v>
      </c>
      <c r="C298" s="31" t="s">
        <v>1184</v>
      </c>
      <c r="D298" s="181" t="s">
        <v>1184</v>
      </c>
      <c r="E298" s="144" t="s">
        <v>1579</v>
      </c>
      <c r="F298" s="120" t="s">
        <v>2768</v>
      </c>
      <c r="G298" s="120" t="s">
        <v>1489</v>
      </c>
      <c r="H298" s="43" t="str">
        <f t="shared" si="106"/>
        <v>Rural MRSA Central</v>
      </c>
      <c r="I298" s="45">
        <f>INDEX(FeeCalc!M:M,MATCH(C:C,FeeCalc!F:F,0))</f>
        <v>360817.61075746192</v>
      </c>
      <c r="J298" s="45">
        <f>INDEX(FeeCalc!L:L,MATCH(C:C,FeeCalc!F:F,0))</f>
        <v>780939.08740662783</v>
      </c>
      <c r="K298" s="45">
        <f t="shared" si="107"/>
        <v>1141756.6981640898</v>
      </c>
      <c r="L298" s="45">
        <f>IFERROR(IFERROR(INDEX('2023 IP UPL Data'!N:N,MATCH(A:A,'2023 IP UPL Data'!B:B,0)),INDEX('2023 IMD UPL Data'!M:M,MATCH(A:A,'2023 IMD UPL Data'!B:B,0))),0)</f>
        <v>-5307.0516237952688</v>
      </c>
      <c r="M298" s="45">
        <f>IFERROR((IF(F298="IMD",0,INDEX('2023 OP UPL Data'!M:M,MATCH(A:A,'2023 OP UPL Data'!B:B,0)))),0)</f>
        <v>270318.37735099334</v>
      </c>
      <c r="N298" s="45">
        <f t="shared" si="108"/>
        <v>265011.32572719804</v>
      </c>
      <c r="O298" s="45">
        <v>54598.793999034417</v>
      </c>
      <c r="P298" s="45">
        <v>818029.04214022716</v>
      </c>
      <c r="Q298" s="45">
        <f t="shared" si="109"/>
        <v>872627.83613926161</v>
      </c>
      <c r="R298" s="45" t="str">
        <f t="shared" si="110"/>
        <v>Yes</v>
      </c>
      <c r="S298" s="46" t="str">
        <f t="shared" si="110"/>
        <v>Yes</v>
      </c>
      <c r="T298" s="47">
        <f>ROUND(INDEX(Summary!H:H,MATCH(H:H,Summary!A:A,0)),2)</f>
        <v>0</v>
      </c>
      <c r="U298" s="47">
        <f>ROUND(INDEX(Summary!I:I,MATCH(H:H,Summary!A:A,0)),2)</f>
        <v>0.17</v>
      </c>
      <c r="V298" s="85">
        <f t="shared" si="111"/>
        <v>0</v>
      </c>
      <c r="W298" s="85">
        <f t="shared" si="111"/>
        <v>132759.64485912674</v>
      </c>
      <c r="X298" s="45">
        <f t="shared" si="112"/>
        <v>132759.64485912674</v>
      </c>
      <c r="Y298" s="45" t="s">
        <v>3223</v>
      </c>
      <c r="Z298" s="45" t="str">
        <f t="shared" si="113"/>
        <v>No</v>
      </c>
      <c r="AA298" s="45" t="str">
        <f t="shared" si="113"/>
        <v>Yes</v>
      </c>
      <c r="AB298" s="45" t="str">
        <f t="shared" si="114"/>
        <v>Yes</v>
      </c>
      <c r="AC298" s="86">
        <f t="shared" si="127"/>
        <v>0.11</v>
      </c>
      <c r="AD298" s="86">
        <f t="shared" si="128"/>
        <v>0.61</v>
      </c>
      <c r="AE298" s="45">
        <f t="shared" si="129"/>
        <v>39689.937183320813</v>
      </c>
      <c r="AF298" s="45">
        <f t="shared" si="129"/>
        <v>476372.84331804299</v>
      </c>
      <c r="AG298" s="45">
        <f t="shared" si="115"/>
        <v>516062.7805013638</v>
      </c>
      <c r="AH298" s="47">
        <f>IF(Y298="No",0,IFERROR(ROUNDDOWN(INDEX('90% of ACR'!K:K,MATCH(H:H,'90% of ACR'!A:A,0))*IF(I298&gt;0,IF(O298&gt;0,$R$4*MAX(O298-V298,0),0),0)/I298,2),0))</f>
        <v>0</v>
      </c>
      <c r="AI298" s="86">
        <f>IF(Y298="No",0,IFERROR(ROUNDDOWN(INDEX('90% of ACR'!R:R,MATCH(H:H,'90% of ACR'!A:A,0))*IF(J298&gt;0,IF(P298&gt;0,$R$4*MAX(P298-W298,0),0),0)/J298,2),0))</f>
        <v>0.61</v>
      </c>
      <c r="AJ298" s="45">
        <f t="shared" si="116"/>
        <v>0</v>
      </c>
      <c r="AK298" s="45">
        <f t="shared" si="116"/>
        <v>476372.84331804299</v>
      </c>
      <c r="AL298" s="47">
        <f t="shared" si="117"/>
        <v>0</v>
      </c>
      <c r="AM298" s="47">
        <f t="shared" si="117"/>
        <v>0.78</v>
      </c>
      <c r="AN298" s="87">
        <f>IFERROR(INDEX(FeeCalc!P:P,MATCH(C298,FeeCalc!F:F,0)),0)</f>
        <v>609132.4881771697</v>
      </c>
      <c r="AO298" s="87">
        <f>IFERROR(INDEX(FeeCalc!S:S,MATCH(C298,FeeCalc!F:F,0)),0)</f>
        <v>37572.632448508186</v>
      </c>
      <c r="AP298" s="87">
        <f t="shared" si="118"/>
        <v>646705.12062567787</v>
      </c>
      <c r="AQ298" s="72">
        <f t="shared" si="119"/>
        <v>274417.67724533519</v>
      </c>
      <c r="AR298" s="72">
        <f t="shared" si="120"/>
        <v>137208.83862266759</v>
      </c>
      <c r="AS298" s="72">
        <f t="shared" si="121"/>
        <v>137208.83862266759</v>
      </c>
      <c r="AT298" s="72">
        <f>IFERROR(IFERROR(INDEX('2023 IP UPL Data'!L:L,MATCH(A:A,'2023 IP UPL Data'!B:B,0)),INDEX('2023 IMD UPL Data'!I:I,MATCH(A:A,'2023 IMD UPL Data'!B:B,0))),0)</f>
        <v>200094.40162379527</v>
      </c>
      <c r="AU298" s="72">
        <f>IFERROR(IF(F296="IMD",0,INDEX('2023 OP UPL Data'!J:J,MATCH(A:A,'2023 OP UPL Data'!B:B,0))),0)</f>
        <v>287776.60264900664</v>
      </c>
      <c r="AV298" s="45">
        <f t="shared" si="122"/>
        <v>487871.00427280192</v>
      </c>
      <c r="AW298" s="72">
        <f>IFERROR(IFERROR(INDEX('2023 IP UPL Data'!M:M,MATCH(A:A,'2023 IP UPL Data'!B:B,0)),INDEX('2023 IMD UPL Data'!K:K,MATCH(A:A,'2023 IMD UPL Data'!B:B,0))),0)</f>
        <v>194787.35</v>
      </c>
      <c r="AX298" s="72">
        <f>IFERROR(IF(F296="IMD",0,INDEX('2023 OP UPL Data'!L:L,MATCH(A:A,'2023 OP UPL Data'!B:B,0))),0)</f>
        <v>558094.98</v>
      </c>
      <c r="AY298" s="45">
        <f t="shared" si="123"/>
        <v>752882.33</v>
      </c>
      <c r="AZ298" s="72">
        <v>254693.19562282969</v>
      </c>
      <c r="BA298" s="72">
        <v>1105805.6447892338</v>
      </c>
      <c r="BB298" s="72">
        <f t="shared" si="124"/>
        <v>254693.19562282969</v>
      </c>
      <c r="BC298" s="72">
        <f t="shared" si="124"/>
        <v>973045.99993010703</v>
      </c>
      <c r="BD298" s="72">
        <f t="shared" si="125"/>
        <v>1227739.1955529368</v>
      </c>
      <c r="BE298" s="94">
        <f t="shared" si="126"/>
        <v>59905.845622829685</v>
      </c>
      <c r="BF298" s="94">
        <f t="shared" si="126"/>
        <v>547710.66478923382</v>
      </c>
      <c r="BG298" s="73">
        <f>IFERROR(INDEX('2023 IP UPL Data'!K:K,MATCH(A298,'2023 IP UPL Data'!B:B,0)),0)</f>
        <v>0</v>
      </c>
    </row>
    <row r="299" spans="1:59">
      <c r="A299" s="124" t="s">
        <v>971</v>
      </c>
      <c r="B299" s="149" t="s">
        <v>971</v>
      </c>
      <c r="C299" s="31" t="s">
        <v>972</v>
      </c>
      <c r="D299" s="181" t="s">
        <v>972</v>
      </c>
      <c r="E299" s="144" t="s">
        <v>3545</v>
      </c>
      <c r="F299" s="120" t="s">
        <v>2718</v>
      </c>
      <c r="G299" s="120" t="s">
        <v>223</v>
      </c>
      <c r="H299" s="43" t="str">
        <f t="shared" si="106"/>
        <v>Urban Dallas</v>
      </c>
      <c r="I299" s="45">
        <f>INDEX(FeeCalc!M:M,MATCH(C:C,FeeCalc!F:F,0))</f>
        <v>8035620.6023709085</v>
      </c>
      <c r="J299" s="45">
        <f>INDEX(FeeCalc!L:L,MATCH(C:C,FeeCalc!F:F,0))</f>
        <v>1340167.580730848</v>
      </c>
      <c r="K299" s="45">
        <f t="shared" si="107"/>
        <v>9375788.1831017565</v>
      </c>
      <c r="L299" s="45">
        <f>IFERROR(IFERROR(INDEX('2023 IP UPL Data'!N:N,MATCH(A:A,'2023 IP UPL Data'!B:B,0)),INDEX('2023 IMD UPL Data'!M:M,MATCH(A:A,'2023 IMD UPL Data'!B:B,0))),0)</f>
        <v>2256183.4003614467</v>
      </c>
      <c r="M299" s="45">
        <f>IFERROR((IF(F299="IMD",0,INDEX('2023 OP UPL Data'!M:M,MATCH(A:A,'2023 OP UPL Data'!B:B,0)))),0)</f>
        <v>1806762.8445783134</v>
      </c>
      <c r="N299" s="45">
        <f t="shared" si="108"/>
        <v>4062946.2449397603</v>
      </c>
      <c r="O299" s="45">
        <v>3972629.8342995103</v>
      </c>
      <c r="P299" s="45">
        <v>2600007.8674332723</v>
      </c>
      <c r="Q299" s="45">
        <f t="shared" si="109"/>
        <v>6572637.7017327826</v>
      </c>
      <c r="R299" s="45" t="str">
        <f t="shared" si="110"/>
        <v>Yes</v>
      </c>
      <c r="S299" s="46" t="str">
        <f t="shared" si="110"/>
        <v>Yes</v>
      </c>
      <c r="T299" s="47">
        <f>ROUND(INDEX(Summary!H:H,MATCH(H:H,Summary!A:A,0)),2)</f>
        <v>1.2</v>
      </c>
      <c r="U299" s="47">
        <f>ROUND(INDEX(Summary!I:I,MATCH(H:H,Summary!A:A,0)),2)</f>
        <v>1.08</v>
      </c>
      <c r="V299" s="85">
        <f t="shared" si="111"/>
        <v>9642744.7228450906</v>
      </c>
      <c r="W299" s="85">
        <f t="shared" si="111"/>
        <v>1447380.987189316</v>
      </c>
      <c r="X299" s="45">
        <f t="shared" si="112"/>
        <v>11090125.710034406</v>
      </c>
      <c r="Y299" s="45" t="s">
        <v>3223</v>
      </c>
      <c r="Z299" s="45" t="str">
        <f t="shared" si="113"/>
        <v>No</v>
      </c>
      <c r="AA299" s="45" t="str">
        <f t="shared" si="113"/>
        <v>Yes</v>
      </c>
      <c r="AB299" s="45" t="str">
        <f t="shared" si="114"/>
        <v>Yes</v>
      </c>
      <c r="AC299" s="86">
        <f t="shared" si="127"/>
        <v>0</v>
      </c>
      <c r="AD299" s="86">
        <f t="shared" si="128"/>
        <v>0.6</v>
      </c>
      <c r="AE299" s="45">
        <f t="shared" si="129"/>
        <v>0</v>
      </c>
      <c r="AF299" s="45">
        <f t="shared" si="129"/>
        <v>804100.54843850876</v>
      </c>
      <c r="AG299" s="45">
        <f t="shared" si="115"/>
        <v>804100.54843850876</v>
      </c>
      <c r="AH299" s="47">
        <f>IF(Y299="No",0,IFERROR(ROUNDDOWN(INDEX('90% of ACR'!K:K,MATCH(H:H,'90% of ACR'!A:A,0))*IF(I299&gt;0,IF(O299&gt;0,$R$4*MAX(O299-V299,0),0),0)/I299,2),0))</f>
        <v>0</v>
      </c>
      <c r="AI299" s="86">
        <f>IF(Y299="No",0,IFERROR(ROUNDDOWN(INDEX('90% of ACR'!R:R,MATCH(H:H,'90% of ACR'!A:A,0))*IF(J299&gt;0,IF(P299&gt;0,$R$4*MAX(P299-W299,0),0),0)/J299,2),0))</f>
        <v>0.59</v>
      </c>
      <c r="AJ299" s="45">
        <f t="shared" si="116"/>
        <v>0</v>
      </c>
      <c r="AK299" s="45">
        <f t="shared" si="116"/>
        <v>790698.87263120024</v>
      </c>
      <c r="AL299" s="47">
        <f t="shared" si="117"/>
        <v>1.2</v>
      </c>
      <c r="AM299" s="47">
        <f t="shared" si="117"/>
        <v>1.67</v>
      </c>
      <c r="AN299" s="87">
        <f>IFERROR(INDEX(FeeCalc!P:P,MATCH(C299,FeeCalc!F:F,0)),0)</f>
        <v>11880824.582665607</v>
      </c>
      <c r="AO299" s="87">
        <f>IFERROR(INDEX(FeeCalc!S:S,MATCH(C299,FeeCalc!F:F,0)),0)</f>
        <v>744356.69180932571</v>
      </c>
      <c r="AP299" s="87">
        <f t="shared" si="118"/>
        <v>12625181.274474934</v>
      </c>
      <c r="AQ299" s="72">
        <f t="shared" si="119"/>
        <v>5357268.4205604978</v>
      </c>
      <c r="AR299" s="72">
        <f t="shared" si="120"/>
        <v>2678634.2102802489</v>
      </c>
      <c r="AS299" s="72">
        <f t="shared" si="121"/>
        <v>2678634.2102802489</v>
      </c>
      <c r="AT299" s="72">
        <f>IFERROR(IFERROR(INDEX('2023 IP UPL Data'!L:L,MATCH(A:A,'2023 IP UPL Data'!B:B,0)),INDEX('2023 IMD UPL Data'!I:I,MATCH(A:A,'2023 IMD UPL Data'!B:B,0))),0)</f>
        <v>7978183.4096385539</v>
      </c>
      <c r="AU299" s="72">
        <f>IFERROR(IF(F297="IMD",0,INDEX('2023 OP UPL Data'!J:J,MATCH(A:A,'2023 OP UPL Data'!B:B,0))),0)</f>
        <v>517811.35542168672</v>
      </c>
      <c r="AV299" s="45">
        <f t="shared" si="122"/>
        <v>8495994.7650602404</v>
      </c>
      <c r="AW299" s="72">
        <f>IFERROR(IFERROR(INDEX('2023 IP UPL Data'!M:M,MATCH(A:A,'2023 IP UPL Data'!B:B,0)),INDEX('2023 IMD UPL Data'!K:K,MATCH(A:A,'2023 IMD UPL Data'!B:B,0))),0)</f>
        <v>10234366.810000001</v>
      </c>
      <c r="AX299" s="72">
        <f>IFERROR(IF(F297="IMD",0,INDEX('2023 OP UPL Data'!L:L,MATCH(A:A,'2023 OP UPL Data'!B:B,0))),0)</f>
        <v>2324574.2000000002</v>
      </c>
      <c r="AY299" s="45">
        <f t="shared" si="123"/>
        <v>12558941.010000002</v>
      </c>
      <c r="AZ299" s="72">
        <v>11950813.243938064</v>
      </c>
      <c r="BA299" s="72">
        <v>3117819.2228549588</v>
      </c>
      <c r="BB299" s="72">
        <f t="shared" si="124"/>
        <v>2308068.5210929736</v>
      </c>
      <c r="BC299" s="72">
        <f t="shared" si="124"/>
        <v>1670438.2356656429</v>
      </c>
      <c r="BD299" s="72">
        <f t="shared" si="125"/>
        <v>3978506.7567586172</v>
      </c>
      <c r="BE299" s="94">
        <f t="shared" si="126"/>
        <v>1716446.4339380637</v>
      </c>
      <c r="BF299" s="94">
        <f t="shared" si="126"/>
        <v>793245.02285495866</v>
      </c>
      <c r="BG299" s="73">
        <f>IFERROR(INDEX('2023 IP UPL Data'!K:K,MATCH(A299,'2023 IP UPL Data'!B:B,0)),0)</f>
        <v>0</v>
      </c>
    </row>
    <row r="300" spans="1:59">
      <c r="A300" s="124" t="s">
        <v>1155</v>
      </c>
      <c r="B300" s="149" t="s">
        <v>1155</v>
      </c>
      <c r="C300" s="31" t="s">
        <v>1156</v>
      </c>
      <c r="D300" s="181" t="s">
        <v>1156</v>
      </c>
      <c r="E300" s="144" t="s">
        <v>3380</v>
      </c>
      <c r="F300" s="120" t="s">
        <v>2768</v>
      </c>
      <c r="G300" s="120" t="s">
        <v>227</v>
      </c>
      <c r="H300" s="43" t="str">
        <f t="shared" si="106"/>
        <v>Rural MRSA West</v>
      </c>
      <c r="I300" s="45">
        <f>INDEX(FeeCalc!M:M,MATCH(C:C,FeeCalc!F:F,0))</f>
        <v>3393568.6145900781</v>
      </c>
      <c r="J300" s="45">
        <f>INDEX(FeeCalc!L:L,MATCH(C:C,FeeCalc!F:F,0))</f>
        <v>3949749.5431458126</v>
      </c>
      <c r="K300" s="45">
        <f t="shared" si="107"/>
        <v>7343318.1577358907</v>
      </c>
      <c r="L300" s="45">
        <f>IFERROR(IFERROR(INDEX('2023 IP UPL Data'!N:N,MATCH(A:A,'2023 IP UPL Data'!B:B,0)),INDEX('2023 IMD UPL Data'!M:M,MATCH(A:A,'2023 IMD UPL Data'!B:B,0))),0)</f>
        <v>-80848.730407669675</v>
      </c>
      <c r="M300" s="45">
        <f>IFERROR((IF(F300="IMD",0,INDEX('2023 OP UPL Data'!M:M,MATCH(A:A,'2023 OP UPL Data'!B:B,0)))),0)</f>
        <v>1421804.5860000001</v>
      </c>
      <c r="N300" s="45">
        <f t="shared" si="108"/>
        <v>1340955.8555923305</v>
      </c>
      <c r="O300" s="45">
        <v>141209.94778175047</v>
      </c>
      <c r="P300" s="45">
        <v>3591922.9410162233</v>
      </c>
      <c r="Q300" s="45">
        <f t="shared" si="109"/>
        <v>3733132.8887979737</v>
      </c>
      <c r="R300" s="45" t="str">
        <f t="shared" si="110"/>
        <v>Yes</v>
      </c>
      <c r="S300" s="46" t="str">
        <f t="shared" si="110"/>
        <v>Yes</v>
      </c>
      <c r="T300" s="47">
        <f>ROUND(INDEX(Summary!H:H,MATCH(H:H,Summary!A:A,0)),2)</f>
        <v>0</v>
      </c>
      <c r="U300" s="47">
        <f>ROUND(INDEX(Summary!I:I,MATCH(H:H,Summary!A:A,0)),2)</f>
        <v>0.28999999999999998</v>
      </c>
      <c r="V300" s="85">
        <f t="shared" si="111"/>
        <v>0</v>
      </c>
      <c r="W300" s="85">
        <f t="shared" si="111"/>
        <v>1145427.3675122855</v>
      </c>
      <c r="X300" s="45">
        <f t="shared" si="112"/>
        <v>1145427.3675122855</v>
      </c>
      <c r="Y300" s="45" t="s">
        <v>3223</v>
      </c>
      <c r="Z300" s="45" t="str">
        <f t="shared" si="113"/>
        <v>No</v>
      </c>
      <c r="AA300" s="45" t="str">
        <f t="shared" si="113"/>
        <v>Yes</v>
      </c>
      <c r="AB300" s="45" t="str">
        <f t="shared" si="114"/>
        <v>Yes</v>
      </c>
      <c r="AC300" s="86">
        <f t="shared" si="127"/>
        <v>0.03</v>
      </c>
      <c r="AD300" s="86">
        <f t="shared" si="128"/>
        <v>0.43</v>
      </c>
      <c r="AE300" s="45">
        <f t="shared" si="129"/>
        <v>101807.05843770233</v>
      </c>
      <c r="AF300" s="45">
        <f t="shared" si="129"/>
        <v>1698392.3035526993</v>
      </c>
      <c r="AG300" s="45">
        <f t="shared" si="115"/>
        <v>1800199.3619904015</v>
      </c>
      <c r="AH300" s="47">
        <f>IF(Y300="No",0,IFERROR(ROUNDDOWN(INDEX('90% of ACR'!K:K,MATCH(H:H,'90% of ACR'!A:A,0))*IF(I300&gt;0,IF(O300&gt;0,$R$4*MAX(O300-V300,0),0),0)/I300,2),0))</f>
        <v>0</v>
      </c>
      <c r="AI300" s="86">
        <f>IF(Y300="No",0,IFERROR(ROUNDDOWN(INDEX('90% of ACR'!R:R,MATCH(H:H,'90% of ACR'!A:A,0))*IF(J300&gt;0,IF(P300&gt;0,$R$4*MAX(P300-W300,0),0),0)/J300,2),0))</f>
        <v>0.42</v>
      </c>
      <c r="AJ300" s="45">
        <f t="shared" si="116"/>
        <v>0</v>
      </c>
      <c r="AK300" s="45">
        <f t="shared" si="116"/>
        <v>1658894.8081212412</v>
      </c>
      <c r="AL300" s="47">
        <f t="shared" si="117"/>
        <v>0</v>
      </c>
      <c r="AM300" s="47">
        <f t="shared" si="117"/>
        <v>0.71</v>
      </c>
      <c r="AN300" s="87">
        <f>IFERROR(INDEX(FeeCalc!P:P,MATCH(C300,FeeCalc!F:F,0)),0)</f>
        <v>2804322.1756335269</v>
      </c>
      <c r="AO300" s="87">
        <f>IFERROR(INDEX(FeeCalc!S:S,MATCH(C300,FeeCalc!F:F,0)),0)</f>
        <v>172600.08459344672</v>
      </c>
      <c r="AP300" s="87">
        <f t="shared" si="118"/>
        <v>2976922.2602269738</v>
      </c>
      <c r="AQ300" s="72">
        <f t="shared" si="119"/>
        <v>1263203.3765266323</v>
      </c>
      <c r="AR300" s="72">
        <f t="shared" si="120"/>
        <v>631601.68826331617</v>
      </c>
      <c r="AS300" s="72">
        <f t="shared" si="121"/>
        <v>631601.68826331617</v>
      </c>
      <c r="AT300" s="72">
        <f>IFERROR(IFERROR(INDEX('2023 IP UPL Data'!L:L,MATCH(A:A,'2023 IP UPL Data'!B:B,0)),INDEX('2023 IMD UPL Data'!I:I,MATCH(A:A,'2023 IMD UPL Data'!B:B,0))),0)</f>
        <v>3066042.2504076697</v>
      </c>
      <c r="AU300" s="72">
        <f>IFERROR(IF(F298="IMD",0,INDEX('2023 OP UPL Data'!J:J,MATCH(A:A,'2023 OP UPL Data'!B:B,0))),0)</f>
        <v>957589.16399999987</v>
      </c>
      <c r="AV300" s="45">
        <f t="shared" si="122"/>
        <v>4023631.4144076696</v>
      </c>
      <c r="AW300" s="72">
        <f>IFERROR(IFERROR(INDEX('2023 IP UPL Data'!M:M,MATCH(A:A,'2023 IP UPL Data'!B:B,0)),INDEX('2023 IMD UPL Data'!K:K,MATCH(A:A,'2023 IMD UPL Data'!B:B,0))),0)</f>
        <v>2985193.52</v>
      </c>
      <c r="AX300" s="72">
        <f>IFERROR(IF(F298="IMD",0,INDEX('2023 OP UPL Data'!L:L,MATCH(A:A,'2023 OP UPL Data'!B:B,0))),0)</f>
        <v>2379393.75</v>
      </c>
      <c r="AY300" s="45">
        <f t="shared" si="123"/>
        <v>5364587.2699999996</v>
      </c>
      <c r="AZ300" s="72">
        <v>3207252.1981894202</v>
      </c>
      <c r="BA300" s="72">
        <v>4549512.1050162232</v>
      </c>
      <c r="BB300" s="72">
        <f t="shared" si="124"/>
        <v>3207252.1981894202</v>
      </c>
      <c r="BC300" s="72">
        <f t="shared" si="124"/>
        <v>3404084.7375039374</v>
      </c>
      <c r="BD300" s="72">
        <f t="shared" si="125"/>
        <v>6611336.9356933571</v>
      </c>
      <c r="BE300" s="94">
        <f t="shared" si="126"/>
        <v>222058.67818942014</v>
      </c>
      <c r="BF300" s="94">
        <f t="shared" si="126"/>
        <v>2170118.3550162232</v>
      </c>
      <c r="BG300" s="73">
        <f>IFERROR(INDEX('2023 IP UPL Data'!K:K,MATCH(A300,'2023 IP UPL Data'!B:B,0)),0)</f>
        <v>0</v>
      </c>
    </row>
    <row r="301" spans="1:59">
      <c r="A301" s="124" t="s">
        <v>135</v>
      </c>
      <c r="B301" s="149" t="s">
        <v>3154</v>
      </c>
      <c r="C301" s="31" t="s">
        <v>136</v>
      </c>
      <c r="D301" s="181" t="s">
        <v>136</v>
      </c>
      <c r="E301" s="144" t="s">
        <v>3546</v>
      </c>
      <c r="F301" s="120" t="s">
        <v>2768</v>
      </c>
      <c r="G301" s="120" t="s">
        <v>1489</v>
      </c>
      <c r="H301" s="43" t="str">
        <f t="shared" si="106"/>
        <v>Rural MRSA Central</v>
      </c>
      <c r="I301" s="45">
        <f>INDEX(FeeCalc!M:M,MATCH(C:C,FeeCalc!F:F,0))</f>
        <v>76594.734511817718</v>
      </c>
      <c r="J301" s="45">
        <f>INDEX(FeeCalc!L:L,MATCH(C:C,FeeCalc!F:F,0))</f>
        <v>549366.69745678478</v>
      </c>
      <c r="K301" s="45">
        <f t="shared" si="107"/>
        <v>625961.43196860247</v>
      </c>
      <c r="L301" s="45">
        <f>IFERROR(IFERROR(INDEX('2023 IP UPL Data'!N:N,MATCH(A:A,'2023 IP UPL Data'!B:B,0)),INDEX('2023 IMD UPL Data'!M:M,MATCH(A:A,'2023 IMD UPL Data'!B:B,0))),0)</f>
        <v>35427.057619185245</v>
      </c>
      <c r="M301" s="45">
        <f>IFERROR((IF(F301="IMD",0,INDEX('2023 OP UPL Data'!M:M,MATCH(A:A,'2023 OP UPL Data'!B:B,0)))),0)</f>
        <v>126151.6188</v>
      </c>
      <c r="N301" s="45">
        <f t="shared" si="108"/>
        <v>161578.67641918524</v>
      </c>
      <c r="O301" s="45">
        <v>32018.179557947034</v>
      </c>
      <c r="P301" s="45">
        <v>206439.51634347992</v>
      </c>
      <c r="Q301" s="45">
        <f t="shared" si="109"/>
        <v>238457.69590142695</v>
      </c>
      <c r="R301" s="45" t="str">
        <f t="shared" si="110"/>
        <v>Yes</v>
      </c>
      <c r="S301" s="46" t="str">
        <f t="shared" si="110"/>
        <v>Yes</v>
      </c>
      <c r="T301" s="47">
        <f>ROUND(INDEX(Summary!H:H,MATCH(H:H,Summary!A:A,0)),2)</f>
        <v>0</v>
      </c>
      <c r="U301" s="47">
        <f>ROUND(INDEX(Summary!I:I,MATCH(H:H,Summary!A:A,0)),2)</f>
        <v>0.17</v>
      </c>
      <c r="V301" s="85">
        <f t="shared" si="111"/>
        <v>0</v>
      </c>
      <c r="W301" s="85">
        <f t="shared" si="111"/>
        <v>93392.338567653424</v>
      </c>
      <c r="X301" s="45">
        <f t="shared" si="112"/>
        <v>93392.338567653424</v>
      </c>
      <c r="Y301" s="45" t="s">
        <v>3223</v>
      </c>
      <c r="Z301" s="45" t="str">
        <f t="shared" si="113"/>
        <v>No</v>
      </c>
      <c r="AA301" s="45" t="str">
        <f t="shared" si="113"/>
        <v>Yes</v>
      </c>
      <c r="AB301" s="45" t="str">
        <f t="shared" si="114"/>
        <v>Yes</v>
      </c>
      <c r="AC301" s="86">
        <f t="shared" si="127"/>
        <v>0.28999999999999998</v>
      </c>
      <c r="AD301" s="86">
        <f t="shared" si="128"/>
        <v>0.14000000000000001</v>
      </c>
      <c r="AE301" s="45">
        <f t="shared" si="129"/>
        <v>22212.473008427136</v>
      </c>
      <c r="AF301" s="45">
        <f t="shared" si="129"/>
        <v>76911.337643949882</v>
      </c>
      <c r="AG301" s="45">
        <f t="shared" si="115"/>
        <v>99123.810652377026</v>
      </c>
      <c r="AH301" s="47">
        <f>IF(Y301="No",0,IFERROR(ROUNDDOWN(INDEX('90% of ACR'!K:K,MATCH(H:H,'90% of ACR'!A:A,0))*IF(I301&gt;0,IF(O301&gt;0,$R$4*MAX(O301-V301,0),0),0)/I301,2),0))</f>
        <v>0</v>
      </c>
      <c r="AI301" s="86">
        <f>IF(Y301="No",0,IFERROR(ROUNDDOWN(INDEX('90% of ACR'!R:R,MATCH(H:H,'90% of ACR'!A:A,0))*IF(J301&gt;0,IF(P301&gt;0,$R$4*MAX(P301-W301,0),0),0)/J301,2),0))</f>
        <v>0.14000000000000001</v>
      </c>
      <c r="AJ301" s="45">
        <f t="shared" si="116"/>
        <v>0</v>
      </c>
      <c r="AK301" s="45">
        <f t="shared" si="116"/>
        <v>76911.337643949882</v>
      </c>
      <c r="AL301" s="47">
        <f t="shared" si="117"/>
        <v>0</v>
      </c>
      <c r="AM301" s="47">
        <f t="shared" si="117"/>
        <v>0.31000000000000005</v>
      </c>
      <c r="AN301" s="87">
        <f>IFERROR(INDEX(FeeCalc!P:P,MATCH(C301,FeeCalc!F:F,0)),0)</f>
        <v>170303.67621160331</v>
      </c>
      <c r="AO301" s="87">
        <f>IFERROR(INDEX(FeeCalc!S:S,MATCH(C301,FeeCalc!F:F,0)),0)</f>
        <v>10518.119281801277</v>
      </c>
      <c r="AP301" s="87">
        <f t="shared" si="118"/>
        <v>180821.79549340458</v>
      </c>
      <c r="AQ301" s="72">
        <f t="shared" si="119"/>
        <v>76728.474125307359</v>
      </c>
      <c r="AR301" s="72">
        <f t="shared" si="120"/>
        <v>38364.237062653679</v>
      </c>
      <c r="AS301" s="72">
        <f t="shared" si="121"/>
        <v>38364.237062653679</v>
      </c>
      <c r="AT301" s="72">
        <f>IFERROR(IFERROR(INDEX('2023 IP UPL Data'!L:L,MATCH(A:A,'2023 IP UPL Data'!B:B,0)),INDEX('2023 IMD UPL Data'!I:I,MATCH(A:A,'2023 IMD UPL Data'!B:B,0))),0)</f>
        <v>177767.88238081476</v>
      </c>
      <c r="AU301" s="72">
        <f>IFERROR(IF(F299="IMD",0,INDEX('2023 OP UPL Data'!J:J,MATCH(A:A,'2023 OP UPL Data'!B:B,0))),0)</f>
        <v>206448.18119999999</v>
      </c>
      <c r="AV301" s="45">
        <f t="shared" si="122"/>
        <v>384216.06358081475</v>
      </c>
      <c r="AW301" s="72">
        <f>IFERROR(IFERROR(INDEX('2023 IP UPL Data'!M:M,MATCH(A:A,'2023 IP UPL Data'!B:B,0)),INDEX('2023 IMD UPL Data'!K:K,MATCH(A:A,'2023 IMD UPL Data'!B:B,0))),0)</f>
        <v>213194.94</v>
      </c>
      <c r="AX301" s="72">
        <f>IFERROR(IF(F299="IMD",0,INDEX('2023 OP UPL Data'!L:L,MATCH(A:A,'2023 OP UPL Data'!B:B,0))),0)</f>
        <v>332599.8</v>
      </c>
      <c r="AY301" s="45">
        <f t="shared" si="123"/>
        <v>545794.74</v>
      </c>
      <c r="AZ301" s="72">
        <v>209786.06193876179</v>
      </c>
      <c r="BA301" s="72">
        <v>412887.69754347991</v>
      </c>
      <c r="BB301" s="72">
        <f t="shared" si="124"/>
        <v>209786.06193876179</v>
      </c>
      <c r="BC301" s="72">
        <f t="shared" si="124"/>
        <v>319495.35897582647</v>
      </c>
      <c r="BD301" s="72">
        <f t="shared" si="125"/>
        <v>529281.42091458826</v>
      </c>
      <c r="BE301" s="94">
        <f t="shared" si="126"/>
        <v>0</v>
      </c>
      <c r="BF301" s="94">
        <f t="shared" si="126"/>
        <v>80287.897543479921</v>
      </c>
      <c r="BG301" s="73">
        <f>IFERROR(INDEX('2023 IP UPL Data'!K:K,MATCH(A301,'2023 IP UPL Data'!B:B,0)),0)</f>
        <v>0</v>
      </c>
    </row>
    <row r="302" spans="1:59">
      <c r="A302" s="124" t="s">
        <v>835</v>
      </c>
      <c r="B302" s="149" t="s">
        <v>835</v>
      </c>
      <c r="C302" s="31" t="s">
        <v>836</v>
      </c>
      <c r="D302" s="181" t="s">
        <v>836</v>
      </c>
      <c r="E302" s="144" t="s">
        <v>3547</v>
      </c>
      <c r="F302" s="120" t="s">
        <v>2718</v>
      </c>
      <c r="G302" s="120" t="s">
        <v>300</v>
      </c>
      <c r="H302" s="43" t="str">
        <f t="shared" si="106"/>
        <v>Urban Harris</v>
      </c>
      <c r="I302" s="45">
        <f>INDEX(FeeCalc!M:M,MATCH(C:C,FeeCalc!F:F,0))</f>
        <v>100206187.79143381</v>
      </c>
      <c r="J302" s="45">
        <f>INDEX(FeeCalc!L:L,MATCH(C:C,FeeCalc!F:F,0))</f>
        <v>29111197.542424295</v>
      </c>
      <c r="K302" s="45">
        <f t="shared" si="107"/>
        <v>129317385.3338581</v>
      </c>
      <c r="L302" s="45">
        <f>IFERROR(IFERROR(INDEX('2023 IP UPL Data'!N:N,MATCH(A:A,'2023 IP UPL Data'!B:B,0)),INDEX('2023 IMD UPL Data'!M:M,MATCH(A:A,'2023 IMD UPL Data'!B:B,0))),0)</f>
        <v>106652345.45544118</v>
      </c>
      <c r="M302" s="45">
        <f>IFERROR((IF(F302="IMD",0,INDEX('2023 OP UPL Data'!M:M,MATCH(A:A,'2023 OP UPL Data'!B:B,0)))),0)</f>
        <v>17004533.162647054</v>
      </c>
      <c r="N302" s="45">
        <f t="shared" si="108"/>
        <v>123656878.61808823</v>
      </c>
      <c r="O302" s="45">
        <v>261812167.3255972</v>
      </c>
      <c r="P302" s="45">
        <v>31340517.134313822</v>
      </c>
      <c r="Q302" s="45">
        <f t="shared" si="109"/>
        <v>293152684.45991099</v>
      </c>
      <c r="R302" s="45" t="str">
        <f t="shared" si="110"/>
        <v>Yes</v>
      </c>
      <c r="S302" s="46" t="str">
        <f t="shared" si="110"/>
        <v>Yes</v>
      </c>
      <c r="T302" s="47">
        <f>ROUND(INDEX(Summary!H:H,MATCH(H:H,Summary!A:A,0)),2)</f>
        <v>2.59</v>
      </c>
      <c r="U302" s="47">
        <f>ROUND(INDEX(Summary!I:I,MATCH(H:H,Summary!A:A,0)),2)</f>
        <v>0.85</v>
      </c>
      <c r="V302" s="85">
        <f t="shared" si="111"/>
        <v>259534026.37981355</v>
      </c>
      <c r="W302" s="85">
        <f t="shared" si="111"/>
        <v>24744517.91106065</v>
      </c>
      <c r="X302" s="45">
        <f t="shared" si="112"/>
        <v>284278544.29087418</v>
      </c>
      <c r="Y302" s="45" t="s">
        <v>3223</v>
      </c>
      <c r="Z302" s="45" t="str">
        <f t="shared" si="113"/>
        <v>No</v>
      </c>
      <c r="AA302" s="45" t="str">
        <f t="shared" si="113"/>
        <v>Yes</v>
      </c>
      <c r="AB302" s="45" t="str">
        <f t="shared" si="114"/>
        <v>Yes</v>
      </c>
      <c r="AC302" s="86">
        <f t="shared" si="127"/>
        <v>0.02</v>
      </c>
      <c r="AD302" s="86">
        <f t="shared" si="128"/>
        <v>0.16</v>
      </c>
      <c r="AE302" s="45">
        <f t="shared" si="129"/>
        <v>2004123.7558286763</v>
      </c>
      <c r="AF302" s="45">
        <f t="shared" si="129"/>
        <v>4657791.6067878874</v>
      </c>
      <c r="AG302" s="45">
        <f t="shared" si="115"/>
        <v>6661915.3626165632</v>
      </c>
      <c r="AH302" s="47">
        <f>IF(Y302="No",0,IFERROR(ROUNDDOWN(INDEX('90% of ACR'!K:K,MATCH(H:H,'90% of ACR'!A:A,0))*IF(I302&gt;0,IF(O302&gt;0,$R$4*MAX(O302-V302,0),0),0)/I302,2),0))</f>
        <v>0</v>
      </c>
      <c r="AI302" s="86">
        <f>IF(Y302="No",0,IFERROR(ROUNDDOWN(INDEX('90% of ACR'!R:R,MATCH(H:H,'90% of ACR'!A:A,0))*IF(J302&gt;0,IF(P302&gt;0,$R$4*MAX(P302-W302,0),0),0)/J302,2),0))</f>
        <v>0.11</v>
      </c>
      <c r="AJ302" s="45">
        <f t="shared" si="116"/>
        <v>0</v>
      </c>
      <c r="AK302" s="45">
        <f t="shared" si="116"/>
        <v>3202231.7296666726</v>
      </c>
      <c r="AL302" s="47">
        <f t="shared" si="117"/>
        <v>2.59</v>
      </c>
      <c r="AM302" s="47">
        <f t="shared" si="117"/>
        <v>0.96</v>
      </c>
      <c r="AN302" s="87">
        <f>IFERROR(INDEX(FeeCalc!P:P,MATCH(C302,FeeCalc!F:F,0)),0)</f>
        <v>287480776.02054089</v>
      </c>
      <c r="AO302" s="87">
        <f>IFERROR(INDEX(FeeCalc!S:S,MATCH(C302,FeeCalc!F:F,0)),0)</f>
        <v>17737535.20948185</v>
      </c>
      <c r="AP302" s="87">
        <f t="shared" si="118"/>
        <v>305218311.23002273</v>
      </c>
      <c r="AQ302" s="72">
        <f t="shared" si="119"/>
        <v>129513896.44085802</v>
      </c>
      <c r="AR302" s="72">
        <f t="shared" si="120"/>
        <v>64756948.220429011</v>
      </c>
      <c r="AS302" s="72">
        <f t="shared" si="121"/>
        <v>64756948.220429011</v>
      </c>
      <c r="AT302" s="72">
        <f>IFERROR(IFERROR(INDEX('2023 IP UPL Data'!L:L,MATCH(A:A,'2023 IP UPL Data'!B:B,0)),INDEX('2023 IMD UPL Data'!I:I,MATCH(A:A,'2023 IMD UPL Data'!B:B,0))),0)</f>
        <v>111047290.08455881</v>
      </c>
      <c r="AU302" s="72">
        <f>IFERROR(IF(F300="IMD",0,INDEX('2023 OP UPL Data'!J:J,MATCH(A:A,'2023 OP UPL Data'!B:B,0))),0)</f>
        <v>20611482.007352948</v>
      </c>
      <c r="AV302" s="45">
        <f t="shared" si="122"/>
        <v>131658772.09191176</v>
      </c>
      <c r="AW302" s="72">
        <f>IFERROR(IFERROR(INDEX('2023 IP UPL Data'!M:M,MATCH(A:A,'2023 IP UPL Data'!B:B,0)),INDEX('2023 IMD UPL Data'!K:K,MATCH(A:A,'2023 IMD UPL Data'!B:B,0))),0)</f>
        <v>217699635.53999999</v>
      </c>
      <c r="AX302" s="72">
        <f>IFERROR(IF(F300="IMD",0,INDEX('2023 OP UPL Data'!L:L,MATCH(A:A,'2023 OP UPL Data'!B:B,0))),0)</f>
        <v>37616015.170000002</v>
      </c>
      <c r="AY302" s="45">
        <f t="shared" si="123"/>
        <v>255315650.70999998</v>
      </c>
      <c r="AZ302" s="72">
        <v>372859457.41015601</v>
      </c>
      <c r="BA302" s="72">
        <v>51951999.14166677</v>
      </c>
      <c r="BB302" s="72">
        <f t="shared" si="124"/>
        <v>113325431.03034246</v>
      </c>
      <c r="BC302" s="72">
        <f t="shared" si="124"/>
        <v>27207481.23060612</v>
      </c>
      <c r="BD302" s="72">
        <f t="shared" si="125"/>
        <v>140532912.2609486</v>
      </c>
      <c r="BE302" s="94">
        <f t="shared" si="126"/>
        <v>155159821.87015602</v>
      </c>
      <c r="BF302" s="94">
        <f t="shared" si="126"/>
        <v>14335983.971666768</v>
      </c>
      <c r="BG302" s="73">
        <f>IFERROR(INDEX('2023 IP UPL Data'!K:K,MATCH(A302,'2023 IP UPL Data'!B:B,0)),0)</f>
        <v>0</v>
      </c>
    </row>
    <row r="303" spans="1:59">
      <c r="A303" s="124" t="s">
        <v>13</v>
      </c>
      <c r="B303" s="149" t="s">
        <v>13</v>
      </c>
      <c r="C303" s="31" t="s">
        <v>14</v>
      </c>
      <c r="D303" s="181" t="s">
        <v>14</v>
      </c>
      <c r="E303" s="144" t="s">
        <v>3548</v>
      </c>
      <c r="F303" s="120" t="s">
        <v>2718</v>
      </c>
      <c r="G303" s="120" t="s">
        <v>300</v>
      </c>
      <c r="H303" s="43" t="str">
        <f t="shared" si="106"/>
        <v>Urban Harris</v>
      </c>
      <c r="I303" s="45">
        <f>INDEX(FeeCalc!M:M,MATCH(C:C,FeeCalc!F:F,0))</f>
        <v>50825642.115588874</v>
      </c>
      <c r="J303" s="45">
        <f>INDEX(FeeCalc!L:L,MATCH(C:C,FeeCalc!F:F,0))</f>
        <v>28998831.136488382</v>
      </c>
      <c r="K303" s="45">
        <f t="shared" si="107"/>
        <v>79824473.252077252</v>
      </c>
      <c r="L303" s="45">
        <f>IFERROR(IFERROR(INDEX('2023 IP UPL Data'!N:N,MATCH(A:A,'2023 IP UPL Data'!B:B,0)),INDEX('2023 IMD UPL Data'!M:M,MATCH(A:A,'2023 IMD UPL Data'!B:B,0))),0)</f>
        <v>62140737.492352948</v>
      </c>
      <c r="M303" s="45">
        <f>IFERROR((IF(F303="IMD",0,INDEX('2023 OP UPL Data'!M:M,MATCH(A:A,'2023 OP UPL Data'!B:B,0)))),0)</f>
        <v>22604121.510441173</v>
      </c>
      <c r="N303" s="45">
        <f t="shared" si="108"/>
        <v>84744859.002794117</v>
      </c>
      <c r="O303" s="45">
        <v>138208595.4515031</v>
      </c>
      <c r="P303" s="45">
        <v>39376261.537000164</v>
      </c>
      <c r="Q303" s="45">
        <f t="shared" si="109"/>
        <v>177584856.98850328</v>
      </c>
      <c r="R303" s="45" t="str">
        <f t="shared" si="110"/>
        <v>Yes</v>
      </c>
      <c r="S303" s="46" t="str">
        <f t="shared" si="110"/>
        <v>Yes</v>
      </c>
      <c r="T303" s="47">
        <f>ROUND(INDEX(Summary!H:H,MATCH(H:H,Summary!A:A,0)),2)</f>
        <v>2.59</v>
      </c>
      <c r="U303" s="47">
        <f>ROUND(INDEX(Summary!I:I,MATCH(H:H,Summary!A:A,0)),2)</f>
        <v>0.85</v>
      </c>
      <c r="V303" s="85">
        <f t="shared" si="111"/>
        <v>131638413.07937518</v>
      </c>
      <c r="W303" s="85">
        <f t="shared" si="111"/>
        <v>24649006.466015123</v>
      </c>
      <c r="X303" s="45">
        <f t="shared" si="112"/>
        <v>156287419.54539031</v>
      </c>
      <c r="Y303" s="45" t="s">
        <v>3223</v>
      </c>
      <c r="Z303" s="45" t="str">
        <f t="shared" si="113"/>
        <v>No</v>
      </c>
      <c r="AA303" s="45" t="str">
        <f t="shared" si="113"/>
        <v>Yes</v>
      </c>
      <c r="AB303" s="45" t="str">
        <f t="shared" si="114"/>
        <v>Yes</v>
      </c>
      <c r="AC303" s="86">
        <f t="shared" si="127"/>
        <v>0.09</v>
      </c>
      <c r="AD303" s="86">
        <f t="shared" si="128"/>
        <v>0.35</v>
      </c>
      <c r="AE303" s="45">
        <f t="shared" si="129"/>
        <v>4574307.7904029982</v>
      </c>
      <c r="AF303" s="45">
        <f t="shared" si="129"/>
        <v>10149590.897770934</v>
      </c>
      <c r="AG303" s="45">
        <f t="shared" si="115"/>
        <v>14723898.688173931</v>
      </c>
      <c r="AH303" s="47">
        <f>IF(Y303="No",0,IFERROR(ROUNDDOWN(INDEX('90% of ACR'!K:K,MATCH(H:H,'90% of ACR'!A:A,0))*IF(I303&gt;0,IF(O303&gt;0,$R$4*MAX(O303-V303,0),0),0)/I303,2),0))</f>
        <v>0</v>
      </c>
      <c r="AI303" s="86">
        <f>IF(Y303="No",0,IFERROR(ROUNDDOWN(INDEX('90% of ACR'!R:R,MATCH(H:H,'90% of ACR'!A:A,0))*IF(J303&gt;0,IF(P303&gt;0,$R$4*MAX(P303-W303,0),0),0)/J303,2),0))</f>
        <v>0.26</v>
      </c>
      <c r="AJ303" s="45">
        <f t="shared" si="116"/>
        <v>0</v>
      </c>
      <c r="AK303" s="45">
        <f t="shared" si="116"/>
        <v>7539696.0954869799</v>
      </c>
      <c r="AL303" s="47">
        <f t="shared" si="117"/>
        <v>2.59</v>
      </c>
      <c r="AM303" s="47">
        <f t="shared" si="117"/>
        <v>1.1099999999999999</v>
      </c>
      <c r="AN303" s="87">
        <f>IFERROR(INDEX(FeeCalc!P:P,MATCH(C303,FeeCalc!F:F,0)),0)</f>
        <v>163827115.64087728</v>
      </c>
      <c r="AO303" s="87">
        <f>IFERROR(INDEX(FeeCalc!S:S,MATCH(C303,FeeCalc!F:F,0)),0)</f>
        <v>10245212.239015929</v>
      </c>
      <c r="AP303" s="87">
        <f t="shared" si="118"/>
        <v>174072327.87989321</v>
      </c>
      <c r="AQ303" s="72">
        <f t="shared" si="119"/>
        <v>73864459.033930853</v>
      </c>
      <c r="AR303" s="72">
        <f t="shared" si="120"/>
        <v>36932229.516965427</v>
      </c>
      <c r="AS303" s="72">
        <f t="shared" si="121"/>
        <v>36932229.516965427</v>
      </c>
      <c r="AT303" s="72">
        <f>IFERROR(IFERROR(INDEX('2023 IP UPL Data'!L:L,MATCH(A:A,'2023 IP UPL Data'!B:B,0)),INDEX('2023 IMD UPL Data'!I:I,MATCH(A:A,'2023 IMD UPL Data'!B:B,0))),0)</f>
        <v>56004593.367647052</v>
      </c>
      <c r="AU303" s="72">
        <f>IFERROR(IF(F301="IMD",0,INDEX('2023 OP UPL Data'!J:J,MATCH(A:A,'2023 OP UPL Data'!B:B,0))),0)</f>
        <v>18951608.959558826</v>
      </c>
      <c r="AV303" s="45">
        <f t="shared" si="122"/>
        <v>74956202.327205881</v>
      </c>
      <c r="AW303" s="72">
        <f>IFERROR(IFERROR(INDEX('2023 IP UPL Data'!M:M,MATCH(A:A,'2023 IP UPL Data'!B:B,0)),INDEX('2023 IMD UPL Data'!K:K,MATCH(A:A,'2023 IMD UPL Data'!B:B,0))),0)</f>
        <v>118145330.86</v>
      </c>
      <c r="AX303" s="72">
        <f>IFERROR(IF(F301="IMD",0,INDEX('2023 OP UPL Data'!L:L,MATCH(A:A,'2023 OP UPL Data'!B:B,0))),0)</f>
        <v>41555730.469999999</v>
      </c>
      <c r="AY303" s="45">
        <f t="shared" si="123"/>
        <v>159701061.32999998</v>
      </c>
      <c r="AZ303" s="72">
        <v>194213188.81915015</v>
      </c>
      <c r="BA303" s="72">
        <v>58327870.496558994</v>
      </c>
      <c r="BB303" s="72">
        <f t="shared" si="124"/>
        <v>62574775.739774972</v>
      </c>
      <c r="BC303" s="72">
        <f t="shared" si="124"/>
        <v>33678864.030543871</v>
      </c>
      <c r="BD303" s="72">
        <f t="shared" si="125"/>
        <v>96253639.770318836</v>
      </c>
      <c r="BE303" s="94">
        <f t="shared" si="126"/>
        <v>76067857.95915015</v>
      </c>
      <c r="BF303" s="94">
        <f t="shared" si="126"/>
        <v>16772140.026558995</v>
      </c>
      <c r="BG303" s="73">
        <f>IFERROR(INDEX('2023 IP UPL Data'!K:K,MATCH(A303,'2023 IP UPL Data'!B:B,0)),0)</f>
        <v>0</v>
      </c>
    </row>
    <row r="304" spans="1:59">
      <c r="A304" s="124" t="s">
        <v>838</v>
      </c>
      <c r="B304" s="149" t="s">
        <v>838</v>
      </c>
      <c r="C304" s="31" t="s">
        <v>839</v>
      </c>
      <c r="D304" s="181" t="s">
        <v>839</v>
      </c>
      <c r="E304" s="144" t="s">
        <v>3549</v>
      </c>
      <c r="F304" s="120" t="s">
        <v>2718</v>
      </c>
      <c r="G304" s="120" t="s">
        <v>300</v>
      </c>
      <c r="H304" s="43" t="str">
        <f t="shared" si="106"/>
        <v>Urban Harris</v>
      </c>
      <c r="I304" s="45">
        <f>INDEX(FeeCalc!M:M,MATCH(C:C,FeeCalc!F:F,0))</f>
        <v>9890709.1092476826</v>
      </c>
      <c r="J304" s="45">
        <f>INDEX(FeeCalc!L:L,MATCH(C:C,FeeCalc!F:F,0))</f>
        <v>5714892.9185905382</v>
      </c>
      <c r="K304" s="45">
        <f t="shared" si="107"/>
        <v>15605602.027838221</v>
      </c>
      <c r="L304" s="45">
        <f>IFERROR(IFERROR(INDEX('2023 IP UPL Data'!N:N,MATCH(A:A,'2023 IP UPL Data'!B:B,0)),INDEX('2023 IMD UPL Data'!M:M,MATCH(A:A,'2023 IMD UPL Data'!B:B,0))),0)</f>
        <v>13337009.568088233</v>
      </c>
      <c r="M304" s="45">
        <f>IFERROR((IF(F304="IMD",0,INDEX('2023 OP UPL Data'!M:M,MATCH(A:A,'2023 OP UPL Data'!B:B,0)))),0)</f>
        <v>4356533.7207352938</v>
      </c>
      <c r="N304" s="45">
        <f t="shared" si="108"/>
        <v>17693543.288823526</v>
      </c>
      <c r="O304" s="45">
        <v>30117522.590557072</v>
      </c>
      <c r="P304" s="45">
        <v>6445343.8038047878</v>
      </c>
      <c r="Q304" s="45">
        <f t="shared" si="109"/>
        <v>36562866.394361861</v>
      </c>
      <c r="R304" s="45" t="str">
        <f t="shared" si="110"/>
        <v>Yes</v>
      </c>
      <c r="S304" s="46" t="str">
        <f t="shared" si="110"/>
        <v>Yes</v>
      </c>
      <c r="T304" s="47">
        <f>ROUND(INDEX(Summary!H:H,MATCH(H:H,Summary!A:A,0)),2)</f>
        <v>2.59</v>
      </c>
      <c r="U304" s="47">
        <f>ROUND(INDEX(Summary!I:I,MATCH(H:H,Summary!A:A,0)),2)</f>
        <v>0.85</v>
      </c>
      <c r="V304" s="85">
        <f t="shared" si="111"/>
        <v>25616936.592951495</v>
      </c>
      <c r="W304" s="85">
        <f t="shared" si="111"/>
        <v>4857658.9808019577</v>
      </c>
      <c r="X304" s="45">
        <f t="shared" si="112"/>
        <v>30474595.573753454</v>
      </c>
      <c r="Y304" s="45" t="s">
        <v>3223</v>
      </c>
      <c r="Z304" s="45" t="str">
        <f t="shared" si="113"/>
        <v>No</v>
      </c>
      <c r="AA304" s="45" t="str">
        <f t="shared" si="113"/>
        <v>Yes</v>
      </c>
      <c r="AB304" s="45" t="str">
        <f t="shared" si="114"/>
        <v>Yes</v>
      </c>
      <c r="AC304" s="86">
        <f t="shared" si="127"/>
        <v>0.32</v>
      </c>
      <c r="AD304" s="86">
        <f t="shared" si="128"/>
        <v>0.19</v>
      </c>
      <c r="AE304" s="45">
        <f t="shared" si="129"/>
        <v>3165026.9149592584</v>
      </c>
      <c r="AF304" s="45">
        <f t="shared" si="129"/>
        <v>1085829.6545322023</v>
      </c>
      <c r="AG304" s="45">
        <f t="shared" si="115"/>
        <v>4250856.5694914609</v>
      </c>
      <c r="AH304" s="47">
        <f>IF(Y304="No",0,IFERROR(ROUNDDOWN(INDEX('90% of ACR'!K:K,MATCH(H:H,'90% of ACR'!A:A,0))*IF(I304&gt;0,IF(O304&gt;0,$R$4*MAX(O304-V304,0),0),0)/I304,2),0))</f>
        <v>0</v>
      </c>
      <c r="AI304" s="86">
        <f>IF(Y304="No",0,IFERROR(ROUNDDOWN(INDEX('90% of ACR'!R:R,MATCH(H:H,'90% of ACR'!A:A,0))*IF(J304&gt;0,IF(P304&gt;0,$R$4*MAX(P304-W304,0),0),0)/J304,2),0))</f>
        <v>0.14000000000000001</v>
      </c>
      <c r="AJ304" s="45">
        <f t="shared" si="116"/>
        <v>0</v>
      </c>
      <c r="AK304" s="45">
        <f t="shared" si="116"/>
        <v>800085.0086026754</v>
      </c>
      <c r="AL304" s="47">
        <f t="shared" si="117"/>
        <v>2.59</v>
      </c>
      <c r="AM304" s="47">
        <f t="shared" si="117"/>
        <v>0.99</v>
      </c>
      <c r="AN304" s="87">
        <f>IFERROR(INDEX(FeeCalc!P:P,MATCH(C304,FeeCalc!F:F,0)),0)</f>
        <v>31274680.582356129</v>
      </c>
      <c r="AO304" s="87">
        <f>IFERROR(INDEX(FeeCalc!S:S,MATCH(C304,FeeCalc!F:F,0)),0)</f>
        <v>1940971.6436493781</v>
      </c>
      <c r="AP304" s="87">
        <f t="shared" si="118"/>
        <v>33215652.226005506</v>
      </c>
      <c r="AQ304" s="72">
        <f t="shared" si="119"/>
        <v>14094464.14036537</v>
      </c>
      <c r="AR304" s="72">
        <f t="shared" si="120"/>
        <v>7047232.0701826848</v>
      </c>
      <c r="AS304" s="72">
        <f t="shared" si="121"/>
        <v>7047232.0701826848</v>
      </c>
      <c r="AT304" s="72">
        <f>IFERROR(IFERROR(INDEX('2023 IP UPL Data'!L:L,MATCH(A:A,'2023 IP UPL Data'!B:B,0)),INDEX('2023 IMD UPL Data'!I:I,MATCH(A:A,'2023 IMD UPL Data'!B:B,0))),0)</f>
        <v>10642230.091911767</v>
      </c>
      <c r="AU304" s="72">
        <f>IFERROR(IF(F302="IMD",0,INDEX('2023 OP UPL Data'!J:J,MATCH(A:A,'2023 OP UPL Data'!B:B,0))),0)</f>
        <v>3844994.0992647065</v>
      </c>
      <c r="AV304" s="45">
        <f t="shared" si="122"/>
        <v>14487224.191176474</v>
      </c>
      <c r="AW304" s="72">
        <f>IFERROR(IFERROR(INDEX('2023 IP UPL Data'!M:M,MATCH(A:A,'2023 IP UPL Data'!B:B,0)),INDEX('2023 IMD UPL Data'!K:K,MATCH(A:A,'2023 IMD UPL Data'!B:B,0))),0)</f>
        <v>23979239.66</v>
      </c>
      <c r="AX304" s="72">
        <f>IFERROR(IF(F302="IMD",0,INDEX('2023 OP UPL Data'!L:L,MATCH(A:A,'2023 OP UPL Data'!B:B,0))),0)</f>
        <v>8201527.8200000003</v>
      </c>
      <c r="AY304" s="45">
        <f t="shared" si="123"/>
        <v>32180767.48</v>
      </c>
      <c r="AZ304" s="72">
        <v>40759752.682468839</v>
      </c>
      <c r="BA304" s="72">
        <v>10290337.903069494</v>
      </c>
      <c r="BB304" s="72">
        <f t="shared" si="124"/>
        <v>15142816.089517344</v>
      </c>
      <c r="BC304" s="72">
        <f t="shared" si="124"/>
        <v>5432678.9222675366</v>
      </c>
      <c r="BD304" s="72">
        <f t="shared" si="125"/>
        <v>20575495.011784881</v>
      </c>
      <c r="BE304" s="94">
        <f t="shared" si="126"/>
        <v>16780513.022468839</v>
      </c>
      <c r="BF304" s="94">
        <f t="shared" si="126"/>
        <v>2088810.083069494</v>
      </c>
      <c r="BG304" s="73">
        <f>IFERROR(INDEX('2023 IP UPL Data'!K:K,MATCH(A304,'2023 IP UPL Data'!B:B,0)),0)</f>
        <v>0</v>
      </c>
    </row>
    <row r="305" spans="1:59">
      <c r="A305" s="124" t="s">
        <v>246</v>
      </c>
      <c r="B305" s="149" t="s">
        <v>246</v>
      </c>
      <c r="C305" s="31" t="s">
        <v>247</v>
      </c>
      <c r="D305" s="181" t="s">
        <v>247</v>
      </c>
      <c r="E305" s="144" t="s">
        <v>3550</v>
      </c>
      <c r="F305" s="120" t="s">
        <v>2718</v>
      </c>
      <c r="G305" s="120" t="s">
        <v>300</v>
      </c>
      <c r="H305" s="43" t="str">
        <f t="shared" si="106"/>
        <v>Urban Harris</v>
      </c>
      <c r="I305" s="45">
        <f>INDEX(FeeCalc!M:M,MATCH(C:C,FeeCalc!F:F,0))</f>
        <v>5062310.7777434578</v>
      </c>
      <c r="J305" s="45">
        <f>INDEX(FeeCalc!L:L,MATCH(C:C,FeeCalc!F:F,0))</f>
        <v>4648767.193176005</v>
      </c>
      <c r="K305" s="45">
        <f t="shared" si="107"/>
        <v>9711077.9709194638</v>
      </c>
      <c r="L305" s="45">
        <f>IFERROR(IFERROR(INDEX('2023 IP UPL Data'!N:N,MATCH(A:A,'2023 IP UPL Data'!B:B,0)),INDEX('2023 IMD UPL Data'!M:M,MATCH(A:A,'2023 IMD UPL Data'!B:B,0))),0)</f>
        <v>8468225.4224999994</v>
      </c>
      <c r="M305" s="45">
        <f>IFERROR((IF(F305="IMD",0,INDEX('2023 OP UPL Data'!M:M,MATCH(A:A,'2023 OP UPL Data'!B:B,0)))),0)</f>
        <v>3873890.1494117645</v>
      </c>
      <c r="N305" s="45">
        <f t="shared" si="108"/>
        <v>12342115.571911763</v>
      </c>
      <c r="O305" s="45">
        <v>20839703.268022228</v>
      </c>
      <c r="P305" s="45">
        <v>7687155.894252317</v>
      </c>
      <c r="Q305" s="45">
        <f t="shared" si="109"/>
        <v>28526859.162274547</v>
      </c>
      <c r="R305" s="45" t="str">
        <f t="shared" si="110"/>
        <v>Yes</v>
      </c>
      <c r="S305" s="46" t="str">
        <f t="shared" si="110"/>
        <v>Yes</v>
      </c>
      <c r="T305" s="47">
        <f>ROUND(INDEX(Summary!H:H,MATCH(H:H,Summary!A:A,0)),2)</f>
        <v>2.59</v>
      </c>
      <c r="U305" s="47">
        <f>ROUND(INDEX(Summary!I:I,MATCH(H:H,Summary!A:A,0)),2)</f>
        <v>0.85</v>
      </c>
      <c r="V305" s="85">
        <f t="shared" si="111"/>
        <v>13111384.914355556</v>
      </c>
      <c r="W305" s="85">
        <f t="shared" si="111"/>
        <v>3951452.1141996044</v>
      </c>
      <c r="X305" s="45">
        <f t="shared" si="112"/>
        <v>17062837.028555159</v>
      </c>
      <c r="Y305" s="45" t="s">
        <v>3223</v>
      </c>
      <c r="Z305" s="45" t="str">
        <f t="shared" si="113"/>
        <v>No</v>
      </c>
      <c r="AA305" s="45" t="str">
        <f t="shared" si="113"/>
        <v>Yes</v>
      </c>
      <c r="AB305" s="45" t="str">
        <f t="shared" si="114"/>
        <v>Yes</v>
      </c>
      <c r="AC305" s="86">
        <f t="shared" si="127"/>
        <v>1.06</v>
      </c>
      <c r="AD305" s="86">
        <f t="shared" si="128"/>
        <v>0.56000000000000005</v>
      </c>
      <c r="AE305" s="45">
        <f t="shared" si="129"/>
        <v>5366049.4244080652</v>
      </c>
      <c r="AF305" s="45">
        <f t="shared" si="129"/>
        <v>2603309.628178563</v>
      </c>
      <c r="AG305" s="45">
        <f t="shared" si="115"/>
        <v>7969359.0525866281</v>
      </c>
      <c r="AH305" s="47">
        <f>IF(Y305="No",0,IFERROR(ROUNDDOWN(INDEX('90% of ACR'!K:K,MATCH(H:H,'90% of ACR'!A:A,0))*IF(I305&gt;0,IF(O305&gt;0,$R$4*MAX(O305-V305,0),0),0)/I305,2),0))</f>
        <v>0</v>
      </c>
      <c r="AI305" s="86">
        <f>IF(Y305="No",0,IFERROR(ROUNDDOWN(INDEX('90% of ACR'!R:R,MATCH(H:H,'90% of ACR'!A:A,0))*IF(J305&gt;0,IF(P305&gt;0,$R$4*MAX(P305-W305,0),0),0)/J305,2),0))</f>
        <v>0.42</v>
      </c>
      <c r="AJ305" s="45">
        <f t="shared" si="116"/>
        <v>0</v>
      </c>
      <c r="AK305" s="45">
        <f t="shared" si="116"/>
        <v>1952482.221133922</v>
      </c>
      <c r="AL305" s="47">
        <f t="shared" si="117"/>
        <v>2.59</v>
      </c>
      <c r="AM305" s="47">
        <f t="shared" si="117"/>
        <v>1.27</v>
      </c>
      <c r="AN305" s="87">
        <f>IFERROR(INDEX(FeeCalc!P:P,MATCH(C305,FeeCalc!F:F,0)),0)</f>
        <v>19015319.24968908</v>
      </c>
      <c r="AO305" s="87">
        <f>IFERROR(INDEX(FeeCalc!S:S,MATCH(C305,FeeCalc!F:F,0)),0)</f>
        <v>1176905.947619224</v>
      </c>
      <c r="AP305" s="87">
        <f t="shared" si="118"/>
        <v>20192225.197308302</v>
      </c>
      <c r="AQ305" s="72">
        <f t="shared" si="119"/>
        <v>8568207.3024242278</v>
      </c>
      <c r="AR305" s="72">
        <f t="shared" si="120"/>
        <v>4284103.6512121139</v>
      </c>
      <c r="AS305" s="72">
        <f t="shared" si="121"/>
        <v>4284103.6512121139</v>
      </c>
      <c r="AT305" s="72">
        <f>IFERROR(IFERROR(INDEX('2023 IP UPL Data'!L:L,MATCH(A:A,'2023 IP UPL Data'!B:B,0)),INDEX('2023 IMD UPL Data'!I:I,MATCH(A:A,'2023 IMD UPL Data'!B:B,0))),0)</f>
        <v>6394470.6875</v>
      </c>
      <c r="AU305" s="72">
        <f>IFERROR(IF(F303="IMD",0,INDEX('2023 OP UPL Data'!J:J,MATCH(A:A,'2023 OP UPL Data'!B:B,0))),0)</f>
        <v>3202850.2205882357</v>
      </c>
      <c r="AV305" s="45">
        <f t="shared" si="122"/>
        <v>9597320.9080882352</v>
      </c>
      <c r="AW305" s="72">
        <f>IFERROR(IFERROR(INDEX('2023 IP UPL Data'!M:M,MATCH(A:A,'2023 IP UPL Data'!B:B,0)),INDEX('2023 IMD UPL Data'!K:K,MATCH(A:A,'2023 IMD UPL Data'!B:B,0))),0)</f>
        <v>14862696.109999999</v>
      </c>
      <c r="AX305" s="72">
        <f>IFERROR(IF(F303="IMD",0,INDEX('2023 OP UPL Data'!L:L,MATCH(A:A,'2023 OP UPL Data'!B:B,0))),0)</f>
        <v>7076740.3700000001</v>
      </c>
      <c r="AY305" s="45">
        <f t="shared" si="123"/>
        <v>21939436.48</v>
      </c>
      <c r="AZ305" s="72">
        <v>27234173.955522228</v>
      </c>
      <c r="BA305" s="72">
        <v>10890006.114840552</v>
      </c>
      <c r="BB305" s="72">
        <f t="shared" si="124"/>
        <v>14122789.041166672</v>
      </c>
      <c r="BC305" s="72">
        <f t="shared" si="124"/>
        <v>6938554.0006409474</v>
      </c>
      <c r="BD305" s="72">
        <f t="shared" si="125"/>
        <v>21061343.041807618</v>
      </c>
      <c r="BE305" s="94">
        <f t="shared" si="126"/>
        <v>12371477.845522229</v>
      </c>
      <c r="BF305" s="94">
        <f t="shared" si="126"/>
        <v>3813265.7448405521</v>
      </c>
      <c r="BG305" s="73">
        <f>IFERROR(INDEX('2023 IP UPL Data'!K:K,MATCH(A305,'2023 IP UPL Data'!B:B,0)),0)</f>
        <v>0</v>
      </c>
    </row>
    <row r="306" spans="1:59">
      <c r="A306" s="124" t="s">
        <v>240</v>
      </c>
      <c r="B306" s="149" t="s">
        <v>240</v>
      </c>
      <c r="C306" s="31" t="s">
        <v>241</v>
      </c>
      <c r="D306" s="181" t="s">
        <v>241</v>
      </c>
      <c r="E306" s="144" t="s">
        <v>3551</v>
      </c>
      <c r="F306" s="120" t="s">
        <v>2718</v>
      </c>
      <c r="G306" s="120" t="s">
        <v>300</v>
      </c>
      <c r="H306" s="43" t="str">
        <f t="shared" si="106"/>
        <v>Urban Harris</v>
      </c>
      <c r="I306" s="45">
        <f>INDEX(FeeCalc!M:M,MATCH(C:C,FeeCalc!F:F,0))</f>
        <v>3126498.4265001779</v>
      </c>
      <c r="J306" s="45">
        <f>INDEX(FeeCalc!L:L,MATCH(C:C,FeeCalc!F:F,0))</f>
        <v>3811958.4149425561</v>
      </c>
      <c r="K306" s="45">
        <f t="shared" si="107"/>
        <v>6938456.841442734</v>
      </c>
      <c r="L306" s="45">
        <f>IFERROR(IFERROR(INDEX('2023 IP UPL Data'!N:N,MATCH(A:A,'2023 IP UPL Data'!B:B,0)),INDEX('2023 IMD UPL Data'!M:M,MATCH(A:A,'2023 IMD UPL Data'!B:B,0))),0)</f>
        <v>4959525.5602941168</v>
      </c>
      <c r="M306" s="45">
        <f>IFERROR((IF(F306="IMD",0,INDEX('2023 OP UPL Data'!M:M,MATCH(A:A,'2023 OP UPL Data'!B:B,0)))),0)</f>
        <v>2201587.4864705876</v>
      </c>
      <c r="N306" s="45">
        <f t="shared" si="108"/>
        <v>7161113.0467647044</v>
      </c>
      <c r="O306" s="45">
        <v>12981354.136291105</v>
      </c>
      <c r="P306" s="45">
        <v>5627813.1425018972</v>
      </c>
      <c r="Q306" s="45">
        <f t="shared" si="109"/>
        <v>18609167.278793003</v>
      </c>
      <c r="R306" s="45" t="str">
        <f t="shared" si="110"/>
        <v>Yes</v>
      </c>
      <c r="S306" s="46" t="str">
        <f t="shared" si="110"/>
        <v>Yes</v>
      </c>
      <c r="T306" s="47">
        <f>ROUND(INDEX(Summary!H:H,MATCH(H:H,Summary!A:A,0)),2)</f>
        <v>2.59</v>
      </c>
      <c r="U306" s="47">
        <f>ROUND(INDEX(Summary!I:I,MATCH(H:H,Summary!A:A,0)),2)</f>
        <v>0.85</v>
      </c>
      <c r="V306" s="85">
        <f t="shared" si="111"/>
        <v>8097630.9246354606</v>
      </c>
      <c r="W306" s="85">
        <f t="shared" si="111"/>
        <v>3240164.6527011725</v>
      </c>
      <c r="X306" s="45">
        <f t="shared" si="112"/>
        <v>11337795.577336634</v>
      </c>
      <c r="Y306" s="45" t="s">
        <v>3223</v>
      </c>
      <c r="Z306" s="45" t="str">
        <f t="shared" si="113"/>
        <v>No</v>
      </c>
      <c r="AA306" s="45" t="str">
        <f t="shared" si="113"/>
        <v>Yes</v>
      </c>
      <c r="AB306" s="45" t="str">
        <f t="shared" si="114"/>
        <v>Yes</v>
      </c>
      <c r="AC306" s="86">
        <f t="shared" si="127"/>
        <v>1.0900000000000001</v>
      </c>
      <c r="AD306" s="86">
        <f t="shared" si="128"/>
        <v>0.44</v>
      </c>
      <c r="AE306" s="45">
        <f t="shared" si="129"/>
        <v>3407883.2848851942</v>
      </c>
      <c r="AF306" s="45">
        <f t="shared" si="129"/>
        <v>1677261.7025747246</v>
      </c>
      <c r="AG306" s="45">
        <f t="shared" si="115"/>
        <v>5085144.9874599185</v>
      </c>
      <c r="AH306" s="47">
        <f>IF(Y306="No",0,IFERROR(ROUNDDOWN(INDEX('90% of ACR'!K:K,MATCH(H:H,'90% of ACR'!A:A,0))*IF(I306&gt;0,IF(O306&gt;0,$R$4*MAX(O306-V306,0),0),0)/I306,2),0))</f>
        <v>0</v>
      </c>
      <c r="AI306" s="86">
        <f>IF(Y306="No",0,IFERROR(ROUNDDOWN(INDEX('90% of ACR'!R:R,MATCH(H:H,'90% of ACR'!A:A,0))*IF(J306&gt;0,IF(P306&gt;0,$R$4*MAX(P306-W306,0),0),0)/J306,2),0))</f>
        <v>0.33</v>
      </c>
      <c r="AJ306" s="45">
        <f t="shared" si="116"/>
        <v>0</v>
      </c>
      <c r="AK306" s="45">
        <f t="shared" si="116"/>
        <v>1257946.2769310435</v>
      </c>
      <c r="AL306" s="47">
        <f t="shared" si="117"/>
        <v>2.59</v>
      </c>
      <c r="AM306" s="47">
        <f t="shared" si="117"/>
        <v>1.18</v>
      </c>
      <c r="AN306" s="87">
        <f>IFERROR(INDEX(FeeCalc!P:P,MATCH(C306,FeeCalc!F:F,0)),0)</f>
        <v>12595741.854267675</v>
      </c>
      <c r="AO306" s="87">
        <f>IFERROR(INDEX(FeeCalc!S:S,MATCH(C306,FeeCalc!F:F,0)),0)</f>
        <v>785430.76369395899</v>
      </c>
      <c r="AP306" s="87">
        <f t="shared" si="118"/>
        <v>13381172.617961634</v>
      </c>
      <c r="AQ306" s="72">
        <f t="shared" si="119"/>
        <v>5678059.7393248975</v>
      </c>
      <c r="AR306" s="72">
        <f t="shared" si="120"/>
        <v>2839029.8696624488</v>
      </c>
      <c r="AS306" s="72">
        <f t="shared" si="121"/>
        <v>2839029.8696624488</v>
      </c>
      <c r="AT306" s="72">
        <f>IFERROR(IFERROR(INDEX('2023 IP UPL Data'!L:L,MATCH(A:A,'2023 IP UPL Data'!B:B,0)),INDEX('2023 IMD UPL Data'!I:I,MATCH(A:A,'2023 IMD UPL Data'!B:B,0))),0)</f>
        <v>4129299.3897058824</v>
      </c>
      <c r="AU306" s="72">
        <f>IFERROR(IF(F304="IMD",0,INDEX('2023 OP UPL Data'!J:J,MATCH(A:A,'2023 OP UPL Data'!B:B,0))),0)</f>
        <v>2668064.823529412</v>
      </c>
      <c r="AV306" s="45">
        <f t="shared" si="122"/>
        <v>6797364.2132352944</v>
      </c>
      <c r="AW306" s="72">
        <f>IFERROR(IFERROR(INDEX('2023 IP UPL Data'!M:M,MATCH(A:A,'2023 IP UPL Data'!B:B,0)),INDEX('2023 IMD UPL Data'!K:K,MATCH(A:A,'2023 IMD UPL Data'!B:B,0))),0)</f>
        <v>9088824.9499999993</v>
      </c>
      <c r="AX306" s="72">
        <f>IFERROR(IF(F304="IMD",0,INDEX('2023 OP UPL Data'!L:L,MATCH(A:A,'2023 OP UPL Data'!B:B,0))),0)</f>
        <v>4869652.3099999996</v>
      </c>
      <c r="AY306" s="45">
        <f t="shared" si="123"/>
        <v>13958477.259999998</v>
      </c>
      <c r="AZ306" s="72">
        <v>17110653.525996987</v>
      </c>
      <c r="BA306" s="72">
        <v>8295877.9660313092</v>
      </c>
      <c r="BB306" s="72">
        <f t="shared" si="124"/>
        <v>9013022.6013615262</v>
      </c>
      <c r="BC306" s="72">
        <f t="shared" si="124"/>
        <v>5055713.3133301362</v>
      </c>
      <c r="BD306" s="72">
        <f t="shared" si="125"/>
        <v>14068735.914691662</v>
      </c>
      <c r="BE306" s="94">
        <f t="shared" si="126"/>
        <v>8021828.5759969875</v>
      </c>
      <c r="BF306" s="94">
        <f t="shared" si="126"/>
        <v>3426225.6560313096</v>
      </c>
      <c r="BG306" s="73">
        <f>IFERROR(INDEX('2023 IP UPL Data'!K:K,MATCH(A306,'2023 IP UPL Data'!B:B,0)),0)</f>
        <v>0</v>
      </c>
    </row>
    <row r="307" spans="1:59">
      <c r="A307" s="124" t="s">
        <v>243</v>
      </c>
      <c r="B307" s="149" t="s">
        <v>243</v>
      </c>
      <c r="C307" s="31" t="s">
        <v>244</v>
      </c>
      <c r="D307" s="181" t="s">
        <v>244</v>
      </c>
      <c r="E307" s="144" t="s">
        <v>3317</v>
      </c>
      <c r="F307" s="120" t="s">
        <v>2718</v>
      </c>
      <c r="G307" s="120" t="s">
        <v>300</v>
      </c>
      <c r="H307" s="43" t="str">
        <f t="shared" si="106"/>
        <v>Urban Harris</v>
      </c>
      <c r="I307" s="45">
        <f>INDEX(FeeCalc!M:M,MATCH(C:C,FeeCalc!F:F,0))</f>
        <v>7832769.9664110458</v>
      </c>
      <c r="J307" s="45">
        <f>INDEX(FeeCalc!L:L,MATCH(C:C,FeeCalc!F:F,0))</f>
        <v>6622680.1463295734</v>
      </c>
      <c r="K307" s="45">
        <f t="shared" si="107"/>
        <v>14455450.112740619</v>
      </c>
      <c r="L307" s="45">
        <f>IFERROR(IFERROR(INDEX('2023 IP UPL Data'!N:N,MATCH(A:A,'2023 IP UPL Data'!B:B,0)),INDEX('2023 IMD UPL Data'!M:M,MATCH(A:A,'2023 IMD UPL Data'!B:B,0))),0)</f>
        <v>12640605.083970588</v>
      </c>
      <c r="M307" s="45">
        <f>IFERROR((IF(F307="IMD",0,INDEX('2023 OP UPL Data'!M:M,MATCH(A:A,'2023 OP UPL Data'!B:B,0)))),0)</f>
        <v>5669142.5216176454</v>
      </c>
      <c r="N307" s="45">
        <f t="shared" si="108"/>
        <v>18309747.605588235</v>
      </c>
      <c r="O307" s="45">
        <v>30604410.660816517</v>
      </c>
      <c r="P307" s="45">
        <v>13415980.320480829</v>
      </c>
      <c r="Q307" s="45">
        <f t="shared" si="109"/>
        <v>44020390.981297344</v>
      </c>
      <c r="R307" s="45" t="str">
        <f t="shared" si="110"/>
        <v>Yes</v>
      </c>
      <c r="S307" s="46" t="str">
        <f t="shared" si="110"/>
        <v>Yes</v>
      </c>
      <c r="T307" s="47">
        <f>ROUND(INDEX(Summary!H:H,MATCH(H:H,Summary!A:A,0)),2)</f>
        <v>2.59</v>
      </c>
      <c r="U307" s="47">
        <f>ROUND(INDEX(Summary!I:I,MATCH(H:H,Summary!A:A,0)),2)</f>
        <v>0.85</v>
      </c>
      <c r="V307" s="85">
        <f t="shared" si="111"/>
        <v>20286874.213004608</v>
      </c>
      <c r="W307" s="85">
        <f t="shared" si="111"/>
        <v>5629278.1243801368</v>
      </c>
      <c r="X307" s="45">
        <f t="shared" si="112"/>
        <v>25916152.337384745</v>
      </c>
      <c r="Y307" s="45" t="s">
        <v>3223</v>
      </c>
      <c r="Z307" s="45" t="str">
        <f t="shared" si="113"/>
        <v>No</v>
      </c>
      <c r="AA307" s="45" t="str">
        <f t="shared" si="113"/>
        <v>Yes</v>
      </c>
      <c r="AB307" s="45" t="str">
        <f t="shared" si="114"/>
        <v>Yes</v>
      </c>
      <c r="AC307" s="86">
        <f t="shared" si="127"/>
        <v>0.92</v>
      </c>
      <c r="AD307" s="86">
        <f t="shared" si="128"/>
        <v>0.82</v>
      </c>
      <c r="AE307" s="45">
        <f t="shared" si="129"/>
        <v>7206148.3690981623</v>
      </c>
      <c r="AF307" s="45">
        <f t="shared" si="129"/>
        <v>5430597.7199902497</v>
      </c>
      <c r="AG307" s="45">
        <f t="shared" si="115"/>
        <v>12636746.089088412</v>
      </c>
      <c r="AH307" s="47">
        <f>IF(Y307="No",0,IFERROR(ROUNDDOWN(INDEX('90% of ACR'!K:K,MATCH(H:H,'90% of ACR'!A:A,0))*IF(I307&gt;0,IF(O307&gt;0,$R$4*MAX(O307-V307,0),0),0)/I307,2),0))</f>
        <v>0</v>
      </c>
      <c r="AI307" s="86">
        <f>IF(Y307="No",0,IFERROR(ROUNDDOWN(INDEX('90% of ACR'!R:R,MATCH(H:H,'90% of ACR'!A:A,0))*IF(J307&gt;0,IF(P307&gt;0,$R$4*MAX(P307-W307,0),0),0)/J307,2),0))</f>
        <v>0.62</v>
      </c>
      <c r="AJ307" s="45">
        <f t="shared" si="116"/>
        <v>0</v>
      </c>
      <c r="AK307" s="45">
        <f t="shared" si="116"/>
        <v>4106061.6907243356</v>
      </c>
      <c r="AL307" s="47">
        <f t="shared" si="117"/>
        <v>2.59</v>
      </c>
      <c r="AM307" s="47">
        <f t="shared" si="117"/>
        <v>1.47</v>
      </c>
      <c r="AN307" s="87">
        <f>IFERROR(INDEX(FeeCalc!P:P,MATCH(C307,FeeCalc!F:F,0)),0)</f>
        <v>30022214.028109081</v>
      </c>
      <c r="AO307" s="87">
        <f>IFERROR(INDEX(FeeCalc!S:S,MATCH(C307,FeeCalc!F:F,0)),0)</f>
        <v>1874313.6516355858</v>
      </c>
      <c r="AP307" s="87">
        <f t="shared" si="118"/>
        <v>31896527.679744668</v>
      </c>
      <c r="AQ307" s="72">
        <f t="shared" si="119"/>
        <v>13534717.383401416</v>
      </c>
      <c r="AR307" s="72">
        <f t="shared" si="120"/>
        <v>6767358.6917007081</v>
      </c>
      <c r="AS307" s="72">
        <f t="shared" si="121"/>
        <v>6767358.6917007081</v>
      </c>
      <c r="AT307" s="72">
        <f>IFERROR(IFERROR(INDEX('2023 IP UPL Data'!L:L,MATCH(A:A,'2023 IP UPL Data'!B:B,0)),INDEX('2023 IMD UPL Data'!I:I,MATCH(A:A,'2023 IMD UPL Data'!B:B,0))),0)</f>
        <v>9119404.1360294111</v>
      </c>
      <c r="AU307" s="72">
        <f>IFERROR(IF(F305="IMD",0,INDEX('2023 OP UPL Data'!J:J,MATCH(A:A,'2023 OP UPL Data'!B:B,0))),0)</f>
        <v>4673532.0183823537</v>
      </c>
      <c r="AV307" s="45">
        <f t="shared" si="122"/>
        <v>13792936.154411765</v>
      </c>
      <c r="AW307" s="72">
        <f>IFERROR(IFERROR(INDEX('2023 IP UPL Data'!M:M,MATCH(A:A,'2023 IP UPL Data'!B:B,0)),INDEX('2023 IMD UPL Data'!K:K,MATCH(A:A,'2023 IMD UPL Data'!B:B,0))),0)</f>
        <v>21760009.219999999</v>
      </c>
      <c r="AX307" s="72">
        <f>IFERROR(IF(F305="IMD",0,INDEX('2023 OP UPL Data'!L:L,MATCH(A:A,'2023 OP UPL Data'!B:B,0))),0)</f>
        <v>10342674.539999999</v>
      </c>
      <c r="AY307" s="45">
        <f t="shared" si="123"/>
        <v>32102683.759999998</v>
      </c>
      <c r="AZ307" s="72">
        <v>39723814.796845928</v>
      </c>
      <c r="BA307" s="72">
        <v>18089512.338863183</v>
      </c>
      <c r="BB307" s="72">
        <f t="shared" si="124"/>
        <v>19436940.58384132</v>
      </c>
      <c r="BC307" s="72">
        <f t="shared" si="124"/>
        <v>12460234.214483045</v>
      </c>
      <c r="BD307" s="72">
        <f t="shared" si="125"/>
        <v>31897174.798324361</v>
      </c>
      <c r="BE307" s="94">
        <f t="shared" si="126"/>
        <v>17963805.576845929</v>
      </c>
      <c r="BF307" s="94">
        <f t="shared" si="126"/>
        <v>7746837.7988631837</v>
      </c>
      <c r="BG307" s="73">
        <f>IFERROR(INDEX('2023 IP UPL Data'!K:K,MATCH(A307,'2023 IP UPL Data'!B:B,0)),0)</f>
        <v>0</v>
      </c>
    </row>
    <row r="308" spans="1:59">
      <c r="A308" s="124" t="s">
        <v>1870</v>
      </c>
      <c r="B308" s="149" t="s">
        <v>1870</v>
      </c>
      <c r="C308" s="31" t="s">
        <v>1872</v>
      </c>
      <c r="D308" s="181" t="s">
        <v>1872</v>
      </c>
      <c r="E308" s="144" t="s">
        <v>3318</v>
      </c>
      <c r="F308" s="120" t="s">
        <v>2718</v>
      </c>
      <c r="G308" s="120" t="s">
        <v>300</v>
      </c>
      <c r="H308" s="43" t="str">
        <f t="shared" si="106"/>
        <v>Urban Harris</v>
      </c>
      <c r="I308" s="45">
        <f>INDEX(FeeCalc!M:M,MATCH(C:C,FeeCalc!F:F,0))</f>
        <v>716381.79754621477</v>
      </c>
      <c r="J308" s="45">
        <f>INDEX(FeeCalc!L:L,MATCH(C:C,FeeCalc!F:F,0))</f>
        <v>1500737.8546049823</v>
      </c>
      <c r="K308" s="45">
        <f t="shared" si="107"/>
        <v>2217119.6521511972</v>
      </c>
      <c r="L308" s="45">
        <f>IFERROR(IFERROR(INDEX('2023 IP UPL Data'!N:N,MATCH(A:A,'2023 IP UPL Data'!B:B,0)),INDEX('2023 IMD UPL Data'!M:M,MATCH(A:A,'2023 IMD UPL Data'!B:B,0))),0)</f>
        <v>877358.79220588249</v>
      </c>
      <c r="M308" s="45">
        <f>IFERROR((IF(F308="IMD",0,INDEX('2023 OP UPL Data'!M:M,MATCH(A:A,'2023 OP UPL Data'!B:B,0)))),0)</f>
        <v>898163.97558823507</v>
      </c>
      <c r="N308" s="45">
        <f t="shared" si="108"/>
        <v>1775522.7677941176</v>
      </c>
      <c r="O308" s="45">
        <v>1726805.7710425616</v>
      </c>
      <c r="P308" s="45">
        <v>2376060.2241527257</v>
      </c>
      <c r="Q308" s="45">
        <f t="shared" si="109"/>
        <v>4102865.9951952873</v>
      </c>
      <c r="R308" s="45" t="str">
        <f t="shared" si="110"/>
        <v>Yes</v>
      </c>
      <c r="S308" s="46" t="str">
        <f t="shared" si="110"/>
        <v>Yes</v>
      </c>
      <c r="T308" s="47">
        <f>ROUND(INDEX(Summary!H:H,MATCH(H:H,Summary!A:A,0)),2)</f>
        <v>2.59</v>
      </c>
      <c r="U308" s="47">
        <f>ROUND(INDEX(Summary!I:I,MATCH(H:H,Summary!A:A,0)),2)</f>
        <v>0.85</v>
      </c>
      <c r="V308" s="85">
        <f t="shared" si="111"/>
        <v>1855428.8556446962</v>
      </c>
      <c r="W308" s="85">
        <f t="shared" si="111"/>
        <v>1275627.176414235</v>
      </c>
      <c r="X308" s="45">
        <f t="shared" si="112"/>
        <v>3131056.032058931</v>
      </c>
      <c r="Y308" s="45" t="s">
        <v>3223</v>
      </c>
      <c r="Z308" s="45" t="str">
        <f t="shared" si="113"/>
        <v>No</v>
      </c>
      <c r="AA308" s="45" t="str">
        <f t="shared" si="113"/>
        <v>Yes</v>
      </c>
      <c r="AB308" s="45" t="str">
        <f t="shared" si="114"/>
        <v>Yes</v>
      </c>
      <c r="AC308" s="86">
        <f t="shared" si="127"/>
        <v>0</v>
      </c>
      <c r="AD308" s="86">
        <f t="shared" si="128"/>
        <v>0.51</v>
      </c>
      <c r="AE308" s="45">
        <f t="shared" si="129"/>
        <v>0</v>
      </c>
      <c r="AF308" s="45">
        <f t="shared" si="129"/>
        <v>765376.30584854097</v>
      </c>
      <c r="AG308" s="45">
        <f t="shared" si="115"/>
        <v>765376.30584854097</v>
      </c>
      <c r="AH308" s="47">
        <f>IF(Y308="No",0,IFERROR(ROUNDDOWN(INDEX('90% of ACR'!K:K,MATCH(H:H,'90% of ACR'!A:A,0))*IF(I308&gt;0,IF(O308&gt;0,$R$4*MAX(O308-V308,0),0),0)/I308,2),0))</f>
        <v>0</v>
      </c>
      <c r="AI308" s="86">
        <f>IF(Y308="No",0,IFERROR(ROUNDDOWN(INDEX('90% of ACR'!R:R,MATCH(H:H,'90% of ACR'!A:A,0))*IF(J308&gt;0,IF(P308&gt;0,$R$4*MAX(P308-W308,0),0),0)/J308,2),0))</f>
        <v>0.38</v>
      </c>
      <c r="AJ308" s="45">
        <f t="shared" si="116"/>
        <v>0</v>
      </c>
      <c r="AK308" s="45">
        <f t="shared" si="116"/>
        <v>570280.38474989333</v>
      </c>
      <c r="AL308" s="47">
        <f t="shared" si="117"/>
        <v>2.59</v>
      </c>
      <c r="AM308" s="47">
        <f t="shared" si="117"/>
        <v>1.23</v>
      </c>
      <c r="AN308" s="87">
        <f>IFERROR(INDEX(FeeCalc!P:P,MATCH(C308,FeeCalc!F:F,0)),0)</f>
        <v>3701336.4168088241</v>
      </c>
      <c r="AO308" s="87">
        <f>IFERROR(INDEX(FeeCalc!S:S,MATCH(C308,FeeCalc!F:F,0)),0)</f>
        <v>230352.93882698865</v>
      </c>
      <c r="AP308" s="87">
        <f t="shared" si="118"/>
        <v>3931689.3556358125</v>
      </c>
      <c r="AQ308" s="72">
        <f t="shared" si="119"/>
        <v>1668341.6076556558</v>
      </c>
      <c r="AR308" s="72">
        <f t="shared" si="120"/>
        <v>834170.80382782791</v>
      </c>
      <c r="AS308" s="72">
        <f t="shared" si="121"/>
        <v>834170.80382782791</v>
      </c>
      <c r="AT308" s="72">
        <f>IFERROR(IFERROR(INDEX('2023 IP UPL Data'!L:L,MATCH(A:A,'2023 IP UPL Data'!B:B,0)),INDEX('2023 IMD UPL Data'!I:I,MATCH(A:A,'2023 IMD UPL Data'!B:B,0))),0)</f>
        <v>494311.04779411759</v>
      </c>
      <c r="AU308" s="72">
        <f>IFERROR(IF(F306="IMD",0,INDEX('2023 OP UPL Data'!J:J,MATCH(A:A,'2023 OP UPL Data'!B:B,0))),0)</f>
        <v>1276711.1544117648</v>
      </c>
      <c r="AV308" s="45">
        <f t="shared" si="122"/>
        <v>1771022.2022058824</v>
      </c>
      <c r="AW308" s="72">
        <f>IFERROR(IFERROR(INDEX('2023 IP UPL Data'!M:M,MATCH(A:A,'2023 IP UPL Data'!B:B,0)),INDEX('2023 IMD UPL Data'!K:K,MATCH(A:A,'2023 IMD UPL Data'!B:B,0))),0)</f>
        <v>1371669.84</v>
      </c>
      <c r="AX308" s="72">
        <f>IFERROR(IF(F306="IMD",0,INDEX('2023 OP UPL Data'!L:L,MATCH(A:A,'2023 OP UPL Data'!B:B,0))),0)</f>
        <v>2174875.13</v>
      </c>
      <c r="AY308" s="45">
        <f t="shared" si="123"/>
        <v>3546544.9699999997</v>
      </c>
      <c r="AZ308" s="72">
        <v>2221116.8188366792</v>
      </c>
      <c r="BA308" s="72">
        <v>3652771.3785644905</v>
      </c>
      <c r="BB308" s="72">
        <f t="shared" si="124"/>
        <v>365687.96319198306</v>
      </c>
      <c r="BC308" s="72">
        <f t="shared" si="124"/>
        <v>2377144.2021502554</v>
      </c>
      <c r="BD308" s="72">
        <f t="shared" si="125"/>
        <v>2742832.1653422387</v>
      </c>
      <c r="BE308" s="94">
        <f t="shared" si="126"/>
        <v>849446.97883667913</v>
      </c>
      <c r="BF308" s="94">
        <f t="shared" si="126"/>
        <v>1477896.2485644906</v>
      </c>
      <c r="BG308" s="73">
        <f>IFERROR(INDEX('2023 IP UPL Data'!K:K,MATCH(A308,'2023 IP UPL Data'!B:B,0)),0)</f>
        <v>0</v>
      </c>
    </row>
    <row r="309" spans="1:59">
      <c r="A309" s="124" t="s">
        <v>1476</v>
      </c>
      <c r="B309" s="149" t="s">
        <v>3107</v>
      </c>
      <c r="C309" s="31" t="s">
        <v>1477</v>
      </c>
      <c r="D309" s="181" t="s">
        <v>1477</v>
      </c>
      <c r="E309" s="144" t="s">
        <v>3552</v>
      </c>
      <c r="F309" s="120" t="s">
        <v>2718</v>
      </c>
      <c r="G309" s="120" t="s">
        <v>300</v>
      </c>
      <c r="H309" s="43" t="str">
        <f t="shared" si="106"/>
        <v>Urban Harris</v>
      </c>
      <c r="I309" s="45">
        <f>INDEX(FeeCalc!M:M,MATCH(C:C,FeeCalc!F:F,0))</f>
        <v>0</v>
      </c>
      <c r="J309" s="45">
        <f>INDEX(FeeCalc!L:L,MATCH(C:C,FeeCalc!F:F,0))</f>
        <v>312345.1121944855</v>
      </c>
      <c r="K309" s="45">
        <f t="shared" si="107"/>
        <v>312345.1121944855</v>
      </c>
      <c r="L309" s="45">
        <f>IFERROR(IFERROR(INDEX('2023 IP UPL Data'!N:N,MATCH(A:A,'2023 IP UPL Data'!B:B,0)),INDEX('2023 IMD UPL Data'!M:M,MATCH(A:A,'2023 IMD UPL Data'!B:B,0))),0)</f>
        <v>25943.15</v>
      </c>
      <c r="M309" s="45">
        <f>IFERROR((IF(F309="IMD",0,INDEX('2023 OP UPL Data'!M:M,MATCH(A:A,'2023 OP UPL Data'!B:B,0)))),0)</f>
        <v>99274.910147058778</v>
      </c>
      <c r="N309" s="45">
        <f t="shared" si="108"/>
        <v>125218.06014705877</v>
      </c>
      <c r="O309" s="45">
        <v>22192.507243235876</v>
      </c>
      <c r="P309" s="45">
        <v>154457.11958932143</v>
      </c>
      <c r="Q309" s="45">
        <f t="shared" si="109"/>
        <v>176649.62683255732</v>
      </c>
      <c r="R309" s="45" t="str">
        <f t="shared" si="110"/>
        <v>Yes</v>
      </c>
      <c r="S309" s="46" t="str">
        <f t="shared" si="110"/>
        <v>Yes</v>
      </c>
      <c r="T309" s="47">
        <f>ROUND(INDEX(Summary!H:H,MATCH(H:H,Summary!A:A,0)),2)</f>
        <v>2.59</v>
      </c>
      <c r="U309" s="47">
        <f>ROUND(INDEX(Summary!I:I,MATCH(H:H,Summary!A:A,0)),2)</f>
        <v>0.85</v>
      </c>
      <c r="V309" s="85">
        <f t="shared" si="111"/>
        <v>0</v>
      </c>
      <c r="W309" s="85">
        <f t="shared" si="111"/>
        <v>265493.34536531265</v>
      </c>
      <c r="X309" s="45">
        <f t="shared" si="112"/>
        <v>265493.34536531265</v>
      </c>
      <c r="Y309" s="45" t="s">
        <v>3223</v>
      </c>
      <c r="Z309" s="45" t="str">
        <f t="shared" si="113"/>
        <v>No</v>
      </c>
      <c r="AA309" s="45" t="str">
        <f t="shared" si="113"/>
        <v>No</v>
      </c>
      <c r="AB309" s="45" t="str">
        <f t="shared" si="114"/>
        <v>No</v>
      </c>
      <c r="AC309" s="86">
        <f t="shared" si="127"/>
        <v>0</v>
      </c>
      <c r="AD309" s="86">
        <f t="shared" si="128"/>
        <v>0</v>
      </c>
      <c r="AE309" s="45">
        <f t="shared" si="129"/>
        <v>0</v>
      </c>
      <c r="AF309" s="45">
        <f t="shared" si="129"/>
        <v>0</v>
      </c>
      <c r="AG309" s="45">
        <f t="shared" si="115"/>
        <v>0</v>
      </c>
      <c r="AH309" s="47">
        <f>IF(Y309="No",0,IFERROR(ROUNDDOWN(INDEX('90% of ACR'!K:K,MATCH(H:H,'90% of ACR'!A:A,0))*IF(I309&gt;0,IF(O309&gt;0,$R$4*MAX(O309-V309,0),0),0)/I309,2),0))</f>
        <v>0</v>
      </c>
      <c r="AI309" s="86">
        <f>IF(Y309="No",0,IFERROR(ROUNDDOWN(INDEX('90% of ACR'!R:R,MATCH(H:H,'90% of ACR'!A:A,0))*IF(J309&gt;0,IF(P309&gt;0,$R$4*MAX(P309-W309,0),0),0)/J309,2),0))</f>
        <v>0</v>
      </c>
      <c r="AJ309" s="45">
        <f t="shared" si="116"/>
        <v>0</v>
      </c>
      <c r="AK309" s="45">
        <f t="shared" si="116"/>
        <v>0</v>
      </c>
      <c r="AL309" s="47">
        <f t="shared" si="117"/>
        <v>2.59</v>
      </c>
      <c r="AM309" s="47">
        <f t="shared" si="117"/>
        <v>0.85</v>
      </c>
      <c r="AN309" s="87">
        <f>IFERROR(INDEX(FeeCalc!P:P,MATCH(C309,FeeCalc!F:F,0)),0)</f>
        <v>265493.34536531265</v>
      </c>
      <c r="AO309" s="87">
        <f>IFERROR(INDEX(FeeCalc!S:S,MATCH(C309,FeeCalc!F:F,0)),0)</f>
        <v>16499.197778868947</v>
      </c>
      <c r="AP309" s="87">
        <f t="shared" si="118"/>
        <v>281992.5431441816</v>
      </c>
      <c r="AQ309" s="72">
        <f t="shared" si="119"/>
        <v>119658.45981745688</v>
      </c>
      <c r="AR309" s="72">
        <f t="shared" si="120"/>
        <v>59829.229908728441</v>
      </c>
      <c r="AS309" s="72">
        <f t="shared" si="121"/>
        <v>59829.229908728441</v>
      </c>
      <c r="AT309" s="72">
        <f>IFERROR(IFERROR(INDEX('2023 IP UPL Data'!L:L,MATCH(A:A,'2023 IP UPL Data'!B:B,0)),INDEX('2023 IMD UPL Data'!I:I,MATCH(A:A,'2023 IMD UPL Data'!B:B,0))),0)</f>
        <v>0.01</v>
      </c>
      <c r="AU309" s="72">
        <f>IFERROR(IF(F307="IMD",0,INDEX('2023 OP UPL Data'!J:J,MATCH(A:A,'2023 OP UPL Data'!B:B,0))),0)</f>
        <v>183115.3198529412</v>
      </c>
      <c r="AV309" s="45">
        <f t="shared" si="122"/>
        <v>183115.32985294121</v>
      </c>
      <c r="AW309" s="72">
        <f>IFERROR(IFERROR(INDEX('2023 IP UPL Data'!M:M,MATCH(A:A,'2023 IP UPL Data'!B:B,0)),INDEX('2023 IMD UPL Data'!K:K,MATCH(A:A,'2023 IMD UPL Data'!B:B,0))),0)</f>
        <v>25943.16</v>
      </c>
      <c r="AX309" s="72">
        <f>IFERROR(IF(F307="IMD",0,INDEX('2023 OP UPL Data'!L:L,MATCH(A:A,'2023 OP UPL Data'!B:B,0))),0)</f>
        <v>282390.23</v>
      </c>
      <c r="AY309" s="45">
        <f t="shared" si="123"/>
        <v>308333.38999999996</v>
      </c>
      <c r="AZ309" s="72">
        <v>22192.517243235874</v>
      </c>
      <c r="BA309" s="72">
        <v>337572.43944226264</v>
      </c>
      <c r="BB309" s="72">
        <f t="shared" si="124"/>
        <v>22192.517243235874</v>
      </c>
      <c r="BC309" s="72">
        <f t="shared" si="124"/>
        <v>72079.094076949987</v>
      </c>
      <c r="BD309" s="72">
        <f t="shared" si="125"/>
        <v>94271.611320185883</v>
      </c>
      <c r="BE309" s="94">
        <f t="shared" si="126"/>
        <v>0</v>
      </c>
      <c r="BF309" s="94">
        <f t="shared" si="126"/>
        <v>55182.209442262654</v>
      </c>
      <c r="BG309" s="73">
        <f>IFERROR(INDEX('2023 IP UPL Data'!K:K,MATCH(A309,'2023 IP UPL Data'!B:B,0)),0)</f>
        <v>0</v>
      </c>
    </row>
    <row r="310" spans="1:59">
      <c r="A310" s="124" t="s">
        <v>656</v>
      </c>
      <c r="B310" s="149" t="s">
        <v>656</v>
      </c>
      <c r="C310" s="31" t="s">
        <v>657</v>
      </c>
      <c r="D310" s="181" t="s">
        <v>657</v>
      </c>
      <c r="E310" s="144" t="s">
        <v>3553</v>
      </c>
      <c r="F310" s="120" t="s">
        <v>2768</v>
      </c>
      <c r="G310" s="120" t="s">
        <v>227</v>
      </c>
      <c r="H310" s="43" t="str">
        <f t="shared" si="106"/>
        <v>Rural MRSA West</v>
      </c>
      <c r="I310" s="45">
        <f>INDEX(FeeCalc!M:M,MATCH(C:C,FeeCalc!F:F,0))</f>
        <v>274765.6473751436</v>
      </c>
      <c r="J310" s="45">
        <f>INDEX(FeeCalc!L:L,MATCH(C:C,FeeCalc!F:F,0))</f>
        <v>807164.86026597046</v>
      </c>
      <c r="K310" s="45">
        <f t="shared" si="107"/>
        <v>1081930.5076411141</v>
      </c>
      <c r="L310" s="45">
        <f>IFERROR(IFERROR(INDEX('2023 IP UPL Data'!N:N,MATCH(A:A,'2023 IP UPL Data'!B:B,0)),INDEX('2023 IMD UPL Data'!M:M,MATCH(A:A,'2023 IMD UPL Data'!B:B,0))),0)</f>
        <v>-170208.0504948223</v>
      </c>
      <c r="M310" s="45">
        <f>IFERROR((IF(F310="IMD",0,INDEX('2023 OP UPL Data'!M:M,MATCH(A:A,'2023 OP UPL Data'!B:B,0)))),0)</f>
        <v>105810.44825000002</v>
      </c>
      <c r="N310" s="45">
        <f t="shared" si="108"/>
        <v>-64397.602244822279</v>
      </c>
      <c r="O310" s="45">
        <v>-62894.005298437376</v>
      </c>
      <c r="P310" s="45">
        <v>371987.85252532508</v>
      </c>
      <c r="Q310" s="45">
        <f t="shared" si="109"/>
        <v>309093.84722688771</v>
      </c>
      <c r="R310" s="45" t="str">
        <f t="shared" si="110"/>
        <v>No</v>
      </c>
      <c r="S310" s="46" t="str">
        <f t="shared" si="110"/>
        <v>Yes</v>
      </c>
      <c r="T310" s="47">
        <f>ROUND(INDEX(Summary!H:H,MATCH(H:H,Summary!A:A,0)),2)</f>
        <v>0</v>
      </c>
      <c r="U310" s="47">
        <f>ROUND(INDEX(Summary!I:I,MATCH(H:H,Summary!A:A,0)),2)</f>
        <v>0.28999999999999998</v>
      </c>
      <c r="V310" s="85">
        <f t="shared" si="111"/>
        <v>0</v>
      </c>
      <c r="W310" s="85">
        <f t="shared" si="111"/>
        <v>234077.80947713141</v>
      </c>
      <c r="X310" s="45">
        <f t="shared" si="112"/>
        <v>234077.80947713141</v>
      </c>
      <c r="Y310" s="45" t="s">
        <v>3223</v>
      </c>
      <c r="Z310" s="45" t="str">
        <f t="shared" si="113"/>
        <v>No</v>
      </c>
      <c r="AA310" s="45" t="str">
        <f t="shared" si="113"/>
        <v>Yes</v>
      </c>
      <c r="AB310" s="45" t="str">
        <f t="shared" si="114"/>
        <v>Yes</v>
      </c>
      <c r="AC310" s="86">
        <f t="shared" si="127"/>
        <v>0</v>
      </c>
      <c r="AD310" s="86">
        <f t="shared" si="128"/>
        <v>0.12</v>
      </c>
      <c r="AE310" s="45">
        <f t="shared" si="129"/>
        <v>0</v>
      </c>
      <c r="AF310" s="45">
        <f t="shared" si="129"/>
        <v>96859.783231916459</v>
      </c>
      <c r="AG310" s="45">
        <f t="shared" si="115"/>
        <v>96859.783231916459</v>
      </c>
      <c r="AH310" s="47">
        <f>IF(Y310="No",0,IFERROR(ROUNDDOWN(INDEX('90% of ACR'!K:K,MATCH(H:H,'90% of ACR'!A:A,0))*IF(I310&gt;0,IF(O310&gt;0,$R$4*MAX(O310-V310,0),0),0)/I310,2),0))</f>
        <v>0</v>
      </c>
      <c r="AI310" s="86">
        <f>IF(Y310="No",0,IFERROR(ROUNDDOWN(INDEX('90% of ACR'!R:R,MATCH(H:H,'90% of ACR'!A:A,0))*IF(J310&gt;0,IF(P310&gt;0,$R$4*MAX(P310-W310,0),0),0)/J310,2),0))</f>
        <v>0.11</v>
      </c>
      <c r="AJ310" s="45">
        <f t="shared" si="116"/>
        <v>0</v>
      </c>
      <c r="AK310" s="45">
        <f t="shared" si="116"/>
        <v>88788.134629256747</v>
      </c>
      <c r="AL310" s="47">
        <f t="shared" si="117"/>
        <v>0</v>
      </c>
      <c r="AM310" s="47">
        <f t="shared" si="117"/>
        <v>0.39999999999999997</v>
      </c>
      <c r="AN310" s="87">
        <f>IFERROR(INDEX(FeeCalc!P:P,MATCH(C310,FeeCalc!F:F,0)),0)</f>
        <v>322865.94410638814</v>
      </c>
      <c r="AO310" s="87">
        <f>IFERROR(INDEX(FeeCalc!S:S,MATCH(C310,FeeCalc!F:F,0)),0)</f>
        <v>19767.476022391216</v>
      </c>
      <c r="AP310" s="87">
        <f t="shared" si="118"/>
        <v>342633.42012877937</v>
      </c>
      <c r="AQ310" s="72">
        <f t="shared" si="119"/>
        <v>145390.32443008522</v>
      </c>
      <c r="AR310" s="72">
        <f t="shared" si="120"/>
        <v>72695.162215042612</v>
      </c>
      <c r="AS310" s="72">
        <f t="shared" si="121"/>
        <v>72695.162215042612</v>
      </c>
      <c r="AT310" s="72">
        <f>IFERROR(IFERROR(INDEX('2023 IP UPL Data'!L:L,MATCH(A:A,'2023 IP UPL Data'!B:B,0)),INDEX('2023 IMD UPL Data'!I:I,MATCH(A:A,'2023 IMD UPL Data'!B:B,0))),0)</f>
        <v>385474.07049482228</v>
      </c>
      <c r="AU310" s="72">
        <f>IFERROR(IF(F308="IMD",0,INDEX('2023 OP UPL Data'!J:J,MATCH(A:A,'2023 OP UPL Data'!B:B,0))),0)</f>
        <v>282629.09174999996</v>
      </c>
      <c r="AV310" s="45">
        <f t="shared" si="122"/>
        <v>668103.16224482225</v>
      </c>
      <c r="AW310" s="72">
        <f>IFERROR(IFERROR(INDEX('2023 IP UPL Data'!M:M,MATCH(A:A,'2023 IP UPL Data'!B:B,0)),INDEX('2023 IMD UPL Data'!K:K,MATCH(A:A,'2023 IMD UPL Data'!B:B,0))),0)</f>
        <v>215266.02</v>
      </c>
      <c r="AX310" s="72">
        <f>IFERROR(IF(F308="IMD",0,INDEX('2023 OP UPL Data'!L:L,MATCH(A:A,'2023 OP UPL Data'!B:B,0))),0)</f>
        <v>388439.54</v>
      </c>
      <c r="AY310" s="45">
        <f t="shared" si="123"/>
        <v>603705.55999999994</v>
      </c>
      <c r="AZ310" s="72">
        <v>322580.06519638491</v>
      </c>
      <c r="BA310" s="72">
        <v>654616.94427532505</v>
      </c>
      <c r="BB310" s="72">
        <f t="shared" si="124"/>
        <v>322580.06519638491</v>
      </c>
      <c r="BC310" s="72">
        <f t="shared" si="124"/>
        <v>420539.13479819364</v>
      </c>
      <c r="BD310" s="72">
        <f t="shared" si="125"/>
        <v>743119.19999457849</v>
      </c>
      <c r="BE310" s="94">
        <f t="shared" si="126"/>
        <v>107314.04519638492</v>
      </c>
      <c r="BF310" s="94">
        <f t="shared" si="126"/>
        <v>266177.40427532507</v>
      </c>
      <c r="BG310" s="73">
        <f>IFERROR(INDEX('2023 IP UPL Data'!K:K,MATCH(A310,'2023 IP UPL Data'!B:B,0)),0)</f>
        <v>0</v>
      </c>
    </row>
    <row r="311" spans="1:59">
      <c r="A311" s="124" t="s">
        <v>123</v>
      </c>
      <c r="B311" s="149" t="s">
        <v>123</v>
      </c>
      <c r="C311" s="31" t="s">
        <v>124</v>
      </c>
      <c r="D311" s="181" t="s">
        <v>124</v>
      </c>
      <c r="E311" s="144" t="s">
        <v>1999</v>
      </c>
      <c r="F311" s="120" t="s">
        <v>2768</v>
      </c>
      <c r="G311" s="120" t="s">
        <v>300</v>
      </c>
      <c r="H311" s="43" t="str">
        <f t="shared" si="106"/>
        <v>Rural Harris</v>
      </c>
      <c r="I311" s="45">
        <f>INDEX(FeeCalc!M:M,MATCH(C:C,FeeCalc!F:F,0))</f>
        <v>141790.73386082426</v>
      </c>
      <c r="J311" s="45">
        <f>INDEX(FeeCalc!L:L,MATCH(C:C,FeeCalc!F:F,0))</f>
        <v>779260.00165602681</v>
      </c>
      <c r="K311" s="45">
        <f t="shared" si="107"/>
        <v>921050.73551685107</v>
      </c>
      <c r="L311" s="45">
        <f>IFERROR(IFERROR(INDEX('2023 IP UPL Data'!N:N,MATCH(A:A,'2023 IP UPL Data'!B:B,0)),INDEX('2023 IMD UPL Data'!M:M,MATCH(A:A,'2023 IMD UPL Data'!B:B,0))),0)</f>
        <v>147133.65128496231</v>
      </c>
      <c r="M311" s="45">
        <f>IFERROR((IF(F311="IMD",0,INDEX('2023 OP UPL Data'!M:M,MATCH(A:A,'2023 OP UPL Data'!B:B,0)))),0)</f>
        <v>639030.16127167642</v>
      </c>
      <c r="N311" s="45">
        <f t="shared" si="108"/>
        <v>786163.81255663873</v>
      </c>
      <c r="O311" s="45">
        <v>-64885.306722206762</v>
      </c>
      <c r="P311" s="45">
        <v>590570.43330441765</v>
      </c>
      <c r="Q311" s="45">
        <f t="shared" si="109"/>
        <v>525685.12658221088</v>
      </c>
      <c r="R311" s="45" t="str">
        <f t="shared" si="110"/>
        <v>No</v>
      </c>
      <c r="S311" s="46" t="str">
        <f t="shared" si="110"/>
        <v>Yes</v>
      </c>
      <c r="T311" s="47">
        <f>ROUND(INDEX(Summary!H:H,MATCH(H:H,Summary!A:A,0)),2)</f>
        <v>0</v>
      </c>
      <c r="U311" s="47">
        <f>ROUND(INDEX(Summary!I:I,MATCH(H:H,Summary!A:A,0)),2)</f>
        <v>0.86</v>
      </c>
      <c r="V311" s="85">
        <f t="shared" si="111"/>
        <v>0</v>
      </c>
      <c r="W311" s="85">
        <f t="shared" si="111"/>
        <v>670163.601424183</v>
      </c>
      <c r="X311" s="45">
        <f t="shared" si="112"/>
        <v>670163.601424183</v>
      </c>
      <c r="Y311" s="45" t="s">
        <v>3223</v>
      </c>
      <c r="Z311" s="45" t="str">
        <f t="shared" si="113"/>
        <v>No</v>
      </c>
      <c r="AA311" s="45" t="str">
        <f t="shared" si="113"/>
        <v>No</v>
      </c>
      <c r="AB311" s="45" t="str">
        <f t="shared" si="114"/>
        <v>No</v>
      </c>
      <c r="AC311" s="86">
        <f t="shared" si="127"/>
        <v>0</v>
      </c>
      <c r="AD311" s="86">
        <f t="shared" si="128"/>
        <v>0</v>
      </c>
      <c r="AE311" s="45">
        <f t="shared" si="129"/>
        <v>0</v>
      </c>
      <c r="AF311" s="45">
        <f t="shared" si="129"/>
        <v>0</v>
      </c>
      <c r="AG311" s="45">
        <f t="shared" si="115"/>
        <v>0</v>
      </c>
      <c r="AH311" s="47">
        <f>IF(Y311="No",0,IFERROR(ROUNDDOWN(INDEX('90% of ACR'!K:K,MATCH(H:H,'90% of ACR'!A:A,0))*IF(I311&gt;0,IF(O311&gt;0,$R$4*MAX(O311-V311,0),0),0)/I311,2),0))</f>
        <v>0</v>
      </c>
      <c r="AI311" s="86">
        <f>IF(Y311="No",0,IFERROR(ROUNDDOWN(INDEX('90% of ACR'!R:R,MATCH(H:H,'90% of ACR'!A:A,0))*IF(J311&gt;0,IF(P311&gt;0,$R$4*MAX(P311-W311,0),0),0)/J311,2),0))</f>
        <v>0</v>
      </c>
      <c r="AJ311" s="45">
        <f t="shared" si="116"/>
        <v>0</v>
      </c>
      <c r="AK311" s="45">
        <f t="shared" si="116"/>
        <v>0</v>
      </c>
      <c r="AL311" s="47">
        <f t="shared" si="117"/>
        <v>0</v>
      </c>
      <c r="AM311" s="47">
        <f t="shared" si="117"/>
        <v>0.86</v>
      </c>
      <c r="AN311" s="87">
        <f>IFERROR(INDEX(FeeCalc!P:P,MATCH(C311,FeeCalc!F:F,0)),0)</f>
        <v>670163.601424183</v>
      </c>
      <c r="AO311" s="87">
        <f>IFERROR(INDEX(FeeCalc!S:S,MATCH(C311,FeeCalc!F:F,0)),0)</f>
        <v>41156.126671751867</v>
      </c>
      <c r="AP311" s="87">
        <f t="shared" si="118"/>
        <v>711319.72809593484</v>
      </c>
      <c r="AQ311" s="72">
        <f t="shared" si="119"/>
        <v>301835.72286240425</v>
      </c>
      <c r="AR311" s="72">
        <f t="shared" si="120"/>
        <v>150917.86143120212</v>
      </c>
      <c r="AS311" s="72">
        <f t="shared" si="121"/>
        <v>150917.86143120212</v>
      </c>
      <c r="AT311" s="72">
        <f>IFERROR(IFERROR(INDEX('2023 IP UPL Data'!L:L,MATCH(A:A,'2023 IP UPL Data'!B:B,0)),INDEX('2023 IMD UPL Data'!I:I,MATCH(A:A,'2023 IMD UPL Data'!B:B,0))),0)</f>
        <v>273762.96871503768</v>
      </c>
      <c r="AU311" s="72">
        <f>IFERROR(IF(F309="IMD",0,INDEX('2023 OP UPL Data'!J:J,MATCH(A:A,'2023 OP UPL Data'!B:B,0))),0)</f>
        <v>354283.49872832367</v>
      </c>
      <c r="AV311" s="45">
        <f t="shared" si="122"/>
        <v>628046.46744336141</v>
      </c>
      <c r="AW311" s="72">
        <f>IFERROR(IFERROR(INDEX('2023 IP UPL Data'!M:M,MATCH(A:A,'2023 IP UPL Data'!B:B,0)),INDEX('2023 IMD UPL Data'!K:K,MATCH(A:A,'2023 IMD UPL Data'!B:B,0))),0)</f>
        <v>420896.62</v>
      </c>
      <c r="AX311" s="72">
        <f>IFERROR(IF(F309="IMD",0,INDEX('2023 OP UPL Data'!L:L,MATCH(A:A,'2023 OP UPL Data'!B:B,0))),0)</f>
        <v>993313.66</v>
      </c>
      <c r="AY311" s="45">
        <f t="shared" si="123"/>
        <v>1414210.28</v>
      </c>
      <c r="AZ311" s="72">
        <v>208877.66199283092</v>
      </c>
      <c r="BA311" s="72">
        <v>944853.93203274126</v>
      </c>
      <c r="BB311" s="72">
        <f t="shared" si="124"/>
        <v>208877.66199283092</v>
      </c>
      <c r="BC311" s="72">
        <f t="shared" si="124"/>
        <v>274690.33060855826</v>
      </c>
      <c r="BD311" s="72">
        <f t="shared" si="125"/>
        <v>483567.9926013893</v>
      </c>
      <c r="BE311" s="94">
        <f t="shared" si="126"/>
        <v>0</v>
      </c>
      <c r="BF311" s="94">
        <f t="shared" si="126"/>
        <v>0</v>
      </c>
      <c r="BG311" s="73">
        <f>IFERROR(INDEX('2023 IP UPL Data'!K:K,MATCH(A311,'2023 IP UPL Data'!B:B,0)),0)</f>
        <v>0</v>
      </c>
    </row>
    <row r="312" spans="1:59">
      <c r="A312" s="124" t="s">
        <v>1152</v>
      </c>
      <c r="B312" s="149" t="s">
        <v>1152</v>
      </c>
      <c r="C312" s="31" t="s">
        <v>1153</v>
      </c>
      <c r="D312" s="181" t="s">
        <v>1153</v>
      </c>
      <c r="E312" s="144" t="s">
        <v>2971</v>
      </c>
      <c r="F312" s="120" t="s">
        <v>2718</v>
      </c>
      <c r="G312" s="120" t="s">
        <v>1530</v>
      </c>
      <c r="H312" s="43" t="str">
        <f t="shared" si="106"/>
        <v>Urban Lubbock</v>
      </c>
      <c r="I312" s="45">
        <f>INDEX(FeeCalc!M:M,MATCH(C:C,FeeCalc!F:F,0))</f>
        <v>21974979.134030242</v>
      </c>
      <c r="J312" s="45">
        <f>INDEX(FeeCalc!L:L,MATCH(C:C,FeeCalc!F:F,0))</f>
        <v>10088030.550521877</v>
      </c>
      <c r="K312" s="45">
        <f t="shared" si="107"/>
        <v>32063009.684552118</v>
      </c>
      <c r="L312" s="45">
        <f>IFERROR(IFERROR(INDEX('2023 IP UPL Data'!N:N,MATCH(A:A,'2023 IP UPL Data'!B:B,0)),INDEX('2023 IMD UPL Data'!M:M,MATCH(A:A,'2023 IMD UPL Data'!B:B,0))),0)</f>
        <v>-53251344.182499997</v>
      </c>
      <c r="M312" s="45">
        <f>IFERROR((IF(F312="IMD",0,INDEX('2023 OP UPL Data'!M:M,MATCH(A:A,'2023 OP UPL Data'!B:B,0)))),0)</f>
        <v>10271922.954999998</v>
      </c>
      <c r="N312" s="45">
        <f t="shared" si="108"/>
        <v>-42979421.227499999</v>
      </c>
      <c r="O312" s="45">
        <v>-34043427.819338456</v>
      </c>
      <c r="P312" s="45">
        <v>26027400.009305485</v>
      </c>
      <c r="Q312" s="45">
        <f t="shared" si="109"/>
        <v>-8016027.8100329712</v>
      </c>
      <c r="R312" s="45" t="str">
        <f t="shared" si="110"/>
        <v>No</v>
      </c>
      <c r="S312" s="46" t="str">
        <f t="shared" si="110"/>
        <v>Yes</v>
      </c>
      <c r="T312" s="47">
        <f>ROUND(INDEX(Summary!H:H,MATCH(H:H,Summary!A:A,0)),2)</f>
        <v>0</v>
      </c>
      <c r="U312" s="47">
        <f>ROUND(INDEX(Summary!I:I,MATCH(H:H,Summary!A:A,0)),2)</f>
        <v>0.96</v>
      </c>
      <c r="V312" s="85">
        <f t="shared" si="111"/>
        <v>0</v>
      </c>
      <c r="W312" s="85">
        <f t="shared" si="111"/>
        <v>9684509.328501001</v>
      </c>
      <c r="X312" s="45">
        <f t="shared" si="112"/>
        <v>9684509.328501001</v>
      </c>
      <c r="Y312" s="45" t="s">
        <v>3223</v>
      </c>
      <c r="Z312" s="45" t="str">
        <f t="shared" si="113"/>
        <v>No</v>
      </c>
      <c r="AA312" s="45" t="str">
        <f t="shared" si="113"/>
        <v>Yes</v>
      </c>
      <c r="AB312" s="45" t="str">
        <f t="shared" si="114"/>
        <v>Yes</v>
      </c>
      <c r="AC312" s="86">
        <f t="shared" si="127"/>
        <v>0</v>
      </c>
      <c r="AD312" s="86">
        <f t="shared" si="128"/>
        <v>1.1299999999999999</v>
      </c>
      <c r="AE312" s="45">
        <f t="shared" si="129"/>
        <v>0</v>
      </c>
      <c r="AF312" s="45">
        <f t="shared" si="129"/>
        <v>11399474.52208972</v>
      </c>
      <c r="AG312" s="45">
        <f t="shared" si="115"/>
        <v>11399474.52208972</v>
      </c>
      <c r="AH312" s="47">
        <f>IF(Y312="No",0,IFERROR(ROUNDDOWN(INDEX('90% of ACR'!K:K,MATCH(H:H,'90% of ACR'!A:A,0))*IF(I312&gt;0,IF(O312&gt;0,$R$4*MAX(O312-V312,0),0),0)/I312,2),0))</f>
        <v>0</v>
      </c>
      <c r="AI312" s="86">
        <f>IF(Y312="No",0,IFERROR(ROUNDDOWN(INDEX('90% of ACR'!R:R,MATCH(H:H,'90% of ACR'!A:A,0))*IF(J312&gt;0,IF(P312&gt;0,$R$4*MAX(P312-W312,0),0),0)/J312,2),0))</f>
        <v>1.1100000000000001</v>
      </c>
      <c r="AJ312" s="45">
        <f t="shared" si="116"/>
        <v>0</v>
      </c>
      <c r="AK312" s="45">
        <f t="shared" si="116"/>
        <v>11197713.911079284</v>
      </c>
      <c r="AL312" s="47">
        <f t="shared" si="117"/>
        <v>0</v>
      </c>
      <c r="AM312" s="47">
        <f t="shared" si="117"/>
        <v>2.0700000000000003</v>
      </c>
      <c r="AN312" s="87">
        <f>IFERROR(INDEX(FeeCalc!P:P,MATCH(C312,FeeCalc!F:F,0)),0)</f>
        <v>20882223.239580289</v>
      </c>
      <c r="AO312" s="87">
        <f>IFERROR(INDEX(FeeCalc!S:S,MATCH(C312,FeeCalc!F:F,0)),0)</f>
        <v>1293932.0027872412</v>
      </c>
      <c r="AP312" s="87">
        <f t="shared" si="118"/>
        <v>22176155.242367528</v>
      </c>
      <c r="AQ312" s="72">
        <f t="shared" si="119"/>
        <v>9410052.3063042983</v>
      </c>
      <c r="AR312" s="72">
        <f t="shared" si="120"/>
        <v>4705026.1531521492</v>
      </c>
      <c r="AS312" s="72">
        <f t="shared" si="121"/>
        <v>4705026.1531521492</v>
      </c>
      <c r="AT312" s="72">
        <f>IFERROR(IFERROR(INDEX('2023 IP UPL Data'!L:L,MATCH(A:A,'2023 IP UPL Data'!B:B,0)),INDEX('2023 IMD UPL Data'!I:I,MATCH(A:A,'2023 IMD UPL Data'!B:B,0))),0)</f>
        <v>96405827.162499994</v>
      </c>
      <c r="AU312" s="72">
        <f>IFERROR(IF(F310="IMD",0,INDEX('2023 OP UPL Data'!J:J,MATCH(A:A,'2023 OP UPL Data'!B:B,0))),0)</f>
        <v>8163712.8749999991</v>
      </c>
      <c r="AV312" s="45">
        <f t="shared" si="122"/>
        <v>104569540.03749999</v>
      </c>
      <c r="AW312" s="72">
        <f>IFERROR(IFERROR(INDEX('2023 IP UPL Data'!M:M,MATCH(A:A,'2023 IP UPL Data'!B:B,0)),INDEX('2023 IMD UPL Data'!K:K,MATCH(A:A,'2023 IMD UPL Data'!B:B,0))),0)</f>
        <v>43154482.979999997</v>
      </c>
      <c r="AX312" s="72">
        <f>IFERROR(IF(F310="IMD",0,INDEX('2023 OP UPL Data'!L:L,MATCH(A:A,'2023 OP UPL Data'!B:B,0))),0)</f>
        <v>18435635.829999998</v>
      </c>
      <c r="AY312" s="45">
        <f t="shared" si="123"/>
        <v>61590118.809999995</v>
      </c>
      <c r="AZ312" s="72">
        <v>62362399.343161538</v>
      </c>
      <c r="BA312" s="72">
        <v>34191112.884305485</v>
      </c>
      <c r="BB312" s="72">
        <f t="shared" si="124"/>
        <v>62362399.343161538</v>
      </c>
      <c r="BC312" s="72">
        <f t="shared" si="124"/>
        <v>24506603.555804484</v>
      </c>
      <c r="BD312" s="72">
        <f t="shared" si="125"/>
        <v>86869002.898966029</v>
      </c>
      <c r="BE312" s="94">
        <f t="shared" si="126"/>
        <v>19207916.363161542</v>
      </c>
      <c r="BF312" s="94">
        <f t="shared" si="126"/>
        <v>15755477.054305486</v>
      </c>
      <c r="BG312" s="73">
        <f>IFERROR(INDEX('2023 IP UPL Data'!K:K,MATCH(A312,'2023 IP UPL Data'!B:B,0)),0)</f>
        <v>74369683</v>
      </c>
    </row>
    <row r="313" spans="1:59">
      <c r="A313" s="124" t="s">
        <v>753</v>
      </c>
      <c r="B313" s="149" t="s">
        <v>753</v>
      </c>
      <c r="C313" s="31" t="s">
        <v>754</v>
      </c>
      <c r="D313" s="181" t="s">
        <v>754</v>
      </c>
      <c r="E313" s="144" t="s">
        <v>3554</v>
      </c>
      <c r="F313" s="120" t="s">
        <v>2768</v>
      </c>
      <c r="G313" s="120" t="s">
        <v>1489</v>
      </c>
      <c r="H313" s="43" t="str">
        <f t="shared" si="106"/>
        <v>Rural MRSA Central</v>
      </c>
      <c r="I313" s="45">
        <f>INDEX(FeeCalc!M:M,MATCH(C:C,FeeCalc!F:F,0))</f>
        <v>1666236.3534764617</v>
      </c>
      <c r="J313" s="45">
        <f>INDEX(FeeCalc!L:L,MATCH(C:C,FeeCalc!F:F,0))</f>
        <v>783809.76582430664</v>
      </c>
      <c r="K313" s="45">
        <f t="shared" si="107"/>
        <v>2450046.1193007682</v>
      </c>
      <c r="L313" s="45">
        <f>IFERROR(IFERROR(INDEX('2023 IP UPL Data'!N:N,MATCH(A:A,'2023 IP UPL Data'!B:B,0)),INDEX('2023 IMD UPL Data'!M:M,MATCH(A:A,'2023 IMD UPL Data'!B:B,0))),0)</f>
        <v>-979943.07741278165</v>
      </c>
      <c r="M313" s="45">
        <f>IFERROR((IF(F313="IMD",0,INDEX('2023 OP UPL Data'!M:M,MATCH(A:A,'2023 OP UPL Data'!B:B,0)))),0)</f>
        <v>502900.85344370862</v>
      </c>
      <c r="N313" s="45">
        <f t="shared" si="108"/>
        <v>-477042.22396907303</v>
      </c>
      <c r="O313" s="45">
        <v>-129725.26402775501</v>
      </c>
      <c r="P313" s="45">
        <v>1007072.0929696786</v>
      </c>
      <c r="Q313" s="45">
        <f t="shared" si="109"/>
        <v>877346.82894192357</v>
      </c>
      <c r="R313" s="45" t="str">
        <f t="shared" si="110"/>
        <v>No</v>
      </c>
      <c r="S313" s="46" t="str">
        <f t="shared" si="110"/>
        <v>Yes</v>
      </c>
      <c r="T313" s="47">
        <f>ROUND(INDEX(Summary!H:H,MATCH(H:H,Summary!A:A,0)),2)</f>
        <v>0</v>
      </c>
      <c r="U313" s="47">
        <f>ROUND(INDEX(Summary!I:I,MATCH(H:H,Summary!A:A,0)),2)</f>
        <v>0.17</v>
      </c>
      <c r="V313" s="85">
        <f t="shared" si="111"/>
        <v>0</v>
      </c>
      <c r="W313" s="85">
        <f t="shared" si="111"/>
        <v>133247.66019013213</v>
      </c>
      <c r="X313" s="45">
        <f t="shared" si="112"/>
        <v>133247.66019013213</v>
      </c>
      <c r="Y313" s="45" t="s">
        <v>3223</v>
      </c>
      <c r="Z313" s="45" t="str">
        <f t="shared" si="113"/>
        <v>No</v>
      </c>
      <c r="AA313" s="45" t="str">
        <f t="shared" si="113"/>
        <v>Yes</v>
      </c>
      <c r="AB313" s="45" t="str">
        <f t="shared" si="114"/>
        <v>Yes</v>
      </c>
      <c r="AC313" s="86">
        <f t="shared" si="127"/>
        <v>0</v>
      </c>
      <c r="AD313" s="86">
        <f t="shared" si="128"/>
        <v>0.78</v>
      </c>
      <c r="AE313" s="45">
        <f t="shared" si="129"/>
        <v>0</v>
      </c>
      <c r="AF313" s="45">
        <f t="shared" si="129"/>
        <v>611371.61734295916</v>
      </c>
      <c r="AG313" s="45">
        <f t="shared" si="115"/>
        <v>611371.61734295916</v>
      </c>
      <c r="AH313" s="47">
        <f>IF(Y313="No",0,IFERROR(ROUNDDOWN(INDEX('90% of ACR'!K:K,MATCH(H:H,'90% of ACR'!A:A,0))*IF(I313&gt;0,IF(O313&gt;0,$R$4*MAX(O313-V313,0),0),0)/I313,2),0))</f>
        <v>0</v>
      </c>
      <c r="AI313" s="86">
        <f>IF(Y313="No",0,IFERROR(ROUNDDOWN(INDEX('90% of ACR'!R:R,MATCH(H:H,'90% of ACR'!A:A,0))*IF(J313&gt;0,IF(P313&gt;0,$R$4*MAX(P313-W313,0),0),0)/J313,2),0))</f>
        <v>0.77</v>
      </c>
      <c r="AJ313" s="45">
        <f t="shared" si="116"/>
        <v>0</v>
      </c>
      <c r="AK313" s="45">
        <f t="shared" si="116"/>
        <v>603533.51968471613</v>
      </c>
      <c r="AL313" s="47">
        <f t="shared" si="117"/>
        <v>0</v>
      </c>
      <c r="AM313" s="47">
        <f t="shared" si="117"/>
        <v>0.94000000000000006</v>
      </c>
      <c r="AN313" s="87">
        <f>IFERROR(INDEX(FeeCalc!P:P,MATCH(C313,FeeCalc!F:F,0)),0)</f>
        <v>736781.17987484834</v>
      </c>
      <c r="AO313" s="87">
        <f>IFERROR(INDEX(FeeCalc!S:S,MATCH(C313,FeeCalc!F:F,0)),0)</f>
        <v>45406.206579992991</v>
      </c>
      <c r="AP313" s="87">
        <f t="shared" si="118"/>
        <v>782187.38645484135</v>
      </c>
      <c r="AQ313" s="72">
        <f t="shared" si="119"/>
        <v>331907.13806915574</v>
      </c>
      <c r="AR313" s="72">
        <f t="shared" si="120"/>
        <v>165953.56903457787</v>
      </c>
      <c r="AS313" s="72">
        <f t="shared" si="121"/>
        <v>165953.56903457787</v>
      </c>
      <c r="AT313" s="72">
        <f>IFERROR(IFERROR(INDEX('2023 IP UPL Data'!L:L,MATCH(A:A,'2023 IP UPL Data'!B:B,0)),INDEX('2023 IMD UPL Data'!I:I,MATCH(A:A,'2023 IMD UPL Data'!B:B,0))),0)</f>
        <v>1874740.3974127816</v>
      </c>
      <c r="AU313" s="72">
        <f>IFERROR(IF(F311="IMD",0,INDEX('2023 OP UPL Data'!J:J,MATCH(A:A,'2023 OP UPL Data'!B:B,0))),0)</f>
        <v>236705.23655629135</v>
      </c>
      <c r="AV313" s="45">
        <f t="shared" si="122"/>
        <v>2111445.6339690732</v>
      </c>
      <c r="AW313" s="72">
        <f>IFERROR(IFERROR(INDEX('2023 IP UPL Data'!M:M,MATCH(A:A,'2023 IP UPL Data'!B:B,0)),INDEX('2023 IMD UPL Data'!K:K,MATCH(A:A,'2023 IMD UPL Data'!B:B,0))),0)</f>
        <v>894797.32</v>
      </c>
      <c r="AX313" s="72">
        <f>IFERROR(IF(F311="IMD",0,INDEX('2023 OP UPL Data'!L:L,MATCH(A:A,'2023 OP UPL Data'!B:B,0))),0)</f>
        <v>739606.09</v>
      </c>
      <c r="AY313" s="45">
        <f t="shared" si="123"/>
        <v>1634403.41</v>
      </c>
      <c r="AZ313" s="72">
        <v>1745015.1333850266</v>
      </c>
      <c r="BA313" s="72">
        <v>1243777.3295259699</v>
      </c>
      <c r="BB313" s="72">
        <f t="shared" si="124"/>
        <v>1745015.1333850266</v>
      </c>
      <c r="BC313" s="72">
        <f t="shared" si="124"/>
        <v>1110529.6693358377</v>
      </c>
      <c r="BD313" s="72">
        <f t="shared" si="125"/>
        <v>2855544.8027208648</v>
      </c>
      <c r="BE313" s="94">
        <f t="shared" si="126"/>
        <v>850217.81338502665</v>
      </c>
      <c r="BF313" s="94">
        <f t="shared" si="126"/>
        <v>504171.23952596996</v>
      </c>
      <c r="BG313" s="73">
        <f>IFERROR(INDEX('2023 IP UPL Data'!K:K,MATCH(A313,'2023 IP UPL Data'!B:B,0)),0)</f>
        <v>0</v>
      </c>
    </row>
    <row r="314" spans="1:59">
      <c r="A314" s="124" t="s">
        <v>2860</v>
      </c>
      <c r="B314" s="149" t="s">
        <v>2860</v>
      </c>
      <c r="C314" s="31" t="s">
        <v>2736</v>
      </c>
      <c r="D314" s="181" t="s">
        <v>2736</v>
      </c>
      <c r="E314" s="144" t="s">
        <v>2159</v>
      </c>
      <c r="F314" s="120" t="s">
        <v>2718</v>
      </c>
      <c r="G314" s="120" t="s">
        <v>1555</v>
      </c>
      <c r="H314" s="43" t="str">
        <f t="shared" si="106"/>
        <v>Urban Jefferson</v>
      </c>
      <c r="I314" s="45">
        <f>INDEX(FeeCalc!M:M,MATCH(C:C,FeeCalc!F:F,0))</f>
        <v>1196349.9748280391</v>
      </c>
      <c r="J314" s="45">
        <f>INDEX(FeeCalc!L:L,MATCH(C:C,FeeCalc!F:F,0))</f>
        <v>1144518.6102516195</v>
      </c>
      <c r="K314" s="45">
        <f t="shared" si="107"/>
        <v>2340868.5850796588</v>
      </c>
      <c r="L314" s="45">
        <f>IFERROR(IFERROR(INDEX('2023 IP UPL Data'!N:N,MATCH(A:A,'2023 IP UPL Data'!B:B,0)),INDEX('2023 IMD UPL Data'!M:M,MATCH(A:A,'2023 IMD UPL Data'!B:B,0))),0)</f>
        <v>1724290.1808733623</v>
      </c>
      <c r="M314" s="45">
        <f>IFERROR((IF(F314="IMD",0,INDEX('2023 OP UPL Data'!M:M,MATCH(A:A,'2023 OP UPL Data'!B:B,0)))),0)</f>
        <v>1673985.3831441049</v>
      </c>
      <c r="N314" s="45">
        <f t="shared" si="108"/>
        <v>3398275.5640174672</v>
      </c>
      <c r="O314" s="45">
        <v>1889704.7533392273</v>
      </c>
      <c r="P314" s="45">
        <v>2122993.1969218953</v>
      </c>
      <c r="Q314" s="45">
        <f t="shared" si="109"/>
        <v>4012697.9502611225</v>
      </c>
      <c r="R314" s="45" t="str">
        <f t="shared" si="110"/>
        <v>Yes</v>
      </c>
      <c r="S314" s="46" t="str">
        <f t="shared" si="110"/>
        <v>Yes</v>
      </c>
      <c r="T314" s="47">
        <f>ROUND(INDEX(Summary!H:H,MATCH(H:H,Summary!A:A,0)),2)</f>
        <v>1.34</v>
      </c>
      <c r="U314" s="47">
        <f>ROUND(INDEX(Summary!I:I,MATCH(H:H,Summary!A:A,0)),2)</f>
        <v>1.7</v>
      </c>
      <c r="V314" s="85">
        <f t="shared" si="111"/>
        <v>1603108.9662695725</v>
      </c>
      <c r="W314" s="85">
        <f t="shared" si="111"/>
        <v>1945681.6374277531</v>
      </c>
      <c r="X314" s="45">
        <f t="shared" si="112"/>
        <v>3548790.6036973256</v>
      </c>
      <c r="Y314" s="45" t="s">
        <v>3223</v>
      </c>
      <c r="Z314" s="45" t="str">
        <f t="shared" si="113"/>
        <v>Yes</v>
      </c>
      <c r="AA314" s="45" t="str">
        <f t="shared" si="113"/>
        <v>Yes</v>
      </c>
      <c r="AB314" s="45" t="str">
        <f t="shared" si="114"/>
        <v>Yes</v>
      </c>
      <c r="AC314" s="86">
        <f t="shared" si="127"/>
        <v>0.17</v>
      </c>
      <c r="AD314" s="86">
        <f t="shared" si="128"/>
        <v>0.11</v>
      </c>
      <c r="AE314" s="45">
        <f t="shared" si="129"/>
        <v>203379.49572076666</v>
      </c>
      <c r="AF314" s="45">
        <f t="shared" si="129"/>
        <v>125897.04712767815</v>
      </c>
      <c r="AG314" s="45">
        <f t="shared" si="115"/>
        <v>329276.54284844478</v>
      </c>
      <c r="AH314" s="47">
        <f>IF(Y314="No",0,IFERROR(ROUNDDOWN(INDEX('90% of ACR'!K:K,MATCH(H:H,'90% of ACR'!A:A,0))*IF(I314&gt;0,IF(O314&gt;0,$R$4*MAX(O314-V314,0),0),0)/I314,2),0))</f>
        <v>0.14000000000000001</v>
      </c>
      <c r="AI314" s="86">
        <f>IF(Y314="No",0,IFERROR(ROUNDDOWN(INDEX('90% of ACR'!R:R,MATCH(H:H,'90% of ACR'!A:A,0))*IF(J314&gt;0,IF(P314&gt;0,$R$4*MAX(P314-W314,0),0),0)/J314,2),0))</f>
        <v>0.08</v>
      </c>
      <c r="AJ314" s="45">
        <f t="shared" si="116"/>
        <v>167488.99647592549</v>
      </c>
      <c r="AK314" s="45">
        <f t="shared" si="116"/>
        <v>91561.488820129554</v>
      </c>
      <c r="AL314" s="47">
        <f t="shared" si="117"/>
        <v>1.48</v>
      </c>
      <c r="AM314" s="47">
        <f t="shared" si="117"/>
        <v>1.78</v>
      </c>
      <c r="AN314" s="87">
        <f>IFERROR(INDEX(FeeCalc!P:P,MATCH(C314,FeeCalc!F:F,0)),0)</f>
        <v>3807841.0889933803</v>
      </c>
      <c r="AO314" s="87">
        <f>IFERROR(INDEX(FeeCalc!S:S,MATCH(C314,FeeCalc!F:F,0)),0)</f>
        <v>237791.6196689585</v>
      </c>
      <c r="AP314" s="87">
        <f t="shared" si="118"/>
        <v>4045632.708662339</v>
      </c>
      <c r="AQ314" s="72">
        <f t="shared" si="119"/>
        <v>1716691.418532108</v>
      </c>
      <c r="AR314" s="72">
        <f t="shared" si="120"/>
        <v>858345.70926605398</v>
      </c>
      <c r="AS314" s="72">
        <f t="shared" si="121"/>
        <v>858345.70926605398</v>
      </c>
      <c r="AT314" s="72">
        <f>IFERROR(IFERROR(INDEX('2023 IP UPL Data'!L:L,MATCH(A:A,'2023 IP UPL Data'!B:B,0)),INDEX('2023 IMD UPL Data'!I:I,MATCH(A:A,'2023 IMD UPL Data'!B:B,0))),0)</f>
        <v>925504.79912663763</v>
      </c>
      <c r="AU314" s="72">
        <f>IFERROR(IF(F312="IMD",0,INDEX('2023 OP UPL Data'!J:J,MATCH(A:A,'2023 OP UPL Data'!B:B,0))),0)</f>
        <v>661689.6768558952</v>
      </c>
      <c r="AV314" s="45">
        <f t="shared" si="122"/>
        <v>1587194.4759825328</v>
      </c>
      <c r="AW314" s="72">
        <f>IFERROR(IFERROR(INDEX('2023 IP UPL Data'!M:M,MATCH(A:A,'2023 IP UPL Data'!B:B,0)),INDEX('2023 IMD UPL Data'!K:K,MATCH(A:A,'2023 IMD UPL Data'!B:B,0))),0)</f>
        <v>2649794.98</v>
      </c>
      <c r="AX314" s="72">
        <f>IFERROR(IF(F312="IMD",0,INDEX('2023 OP UPL Data'!L:L,MATCH(A:A,'2023 OP UPL Data'!B:B,0))),0)</f>
        <v>2335675.06</v>
      </c>
      <c r="AY314" s="45">
        <f t="shared" si="123"/>
        <v>4985470.04</v>
      </c>
      <c r="AZ314" s="72">
        <v>2815209.5524658649</v>
      </c>
      <c r="BA314" s="72">
        <v>2784682.8737777905</v>
      </c>
      <c r="BB314" s="72">
        <f t="shared" si="124"/>
        <v>1212100.5861962924</v>
      </c>
      <c r="BC314" s="72">
        <f t="shared" si="124"/>
        <v>839001.23635003739</v>
      </c>
      <c r="BD314" s="72">
        <f t="shared" si="125"/>
        <v>2051101.8225463298</v>
      </c>
      <c r="BE314" s="94">
        <f t="shared" si="126"/>
        <v>165414.57246586494</v>
      </c>
      <c r="BF314" s="94">
        <f t="shared" si="126"/>
        <v>449007.8137777904</v>
      </c>
      <c r="BG314" s="73">
        <f>IFERROR(INDEX('2023 IP UPL Data'!K:K,MATCH(A314,'2023 IP UPL Data'!B:B,0)),0)</f>
        <v>0</v>
      </c>
    </row>
    <row r="315" spans="1:59">
      <c r="A315" s="124" t="s">
        <v>440</v>
      </c>
      <c r="B315" s="149" t="s">
        <v>440</v>
      </c>
      <c r="C315" s="31" t="s">
        <v>441</v>
      </c>
      <c r="D315" s="181" t="s">
        <v>441</v>
      </c>
      <c r="E315" s="144" t="s">
        <v>3555</v>
      </c>
      <c r="F315" s="120" t="s">
        <v>2718</v>
      </c>
      <c r="G315" s="120" t="s">
        <v>310</v>
      </c>
      <c r="H315" s="43" t="str">
        <f t="shared" si="106"/>
        <v>Urban MRSA Northeast</v>
      </c>
      <c r="I315" s="45">
        <f>INDEX(FeeCalc!M:M,MATCH(C:C,FeeCalc!F:F,0))</f>
        <v>93976.472178199823</v>
      </c>
      <c r="J315" s="45">
        <f>INDEX(FeeCalc!L:L,MATCH(C:C,FeeCalc!F:F,0))</f>
        <v>643587.64847479737</v>
      </c>
      <c r="K315" s="45">
        <f t="shared" si="107"/>
        <v>737564.12065299717</v>
      </c>
      <c r="L315" s="45">
        <f>IFERROR(IFERROR(INDEX('2023 IP UPL Data'!N:N,MATCH(A:A,'2023 IP UPL Data'!B:B,0)),INDEX('2023 IMD UPL Data'!M:M,MATCH(A:A,'2023 IMD UPL Data'!B:B,0))),0)</f>
        <v>119831.10956521737</v>
      </c>
      <c r="M315" s="45">
        <f>IFERROR((IF(F315="IMD",0,INDEX('2023 OP UPL Data'!M:M,MATCH(A:A,'2023 OP UPL Data'!B:B,0)))),0)</f>
        <v>1818911.7189130434</v>
      </c>
      <c r="N315" s="45">
        <f t="shared" si="108"/>
        <v>1938742.8284782607</v>
      </c>
      <c r="O315" s="45">
        <v>400738.71588183125</v>
      </c>
      <c r="P315" s="45">
        <v>2606804.9150633584</v>
      </c>
      <c r="Q315" s="45">
        <f t="shared" si="109"/>
        <v>3007543.6309451899</v>
      </c>
      <c r="R315" s="45" t="str">
        <f t="shared" si="110"/>
        <v>Yes</v>
      </c>
      <c r="S315" s="46" t="str">
        <f t="shared" si="110"/>
        <v>Yes</v>
      </c>
      <c r="T315" s="47">
        <f>ROUND(INDEX(Summary!H:H,MATCH(H:H,Summary!A:A,0)),2)</f>
        <v>0.79</v>
      </c>
      <c r="U315" s="47">
        <f>ROUND(INDEX(Summary!I:I,MATCH(H:H,Summary!A:A,0)),2)</f>
        <v>1.2</v>
      </c>
      <c r="V315" s="85">
        <f t="shared" si="111"/>
        <v>74241.413020777865</v>
      </c>
      <c r="W315" s="85">
        <f t="shared" si="111"/>
        <v>772305.17816975678</v>
      </c>
      <c r="X315" s="45">
        <f t="shared" si="112"/>
        <v>846546.59119053464</v>
      </c>
      <c r="Y315" s="45" t="s">
        <v>3224</v>
      </c>
      <c r="Z315" s="45" t="str">
        <f t="shared" si="113"/>
        <v>No</v>
      </c>
      <c r="AA315" s="45" t="str">
        <f t="shared" si="113"/>
        <v>No</v>
      </c>
      <c r="AB315" s="45" t="str">
        <f t="shared" si="114"/>
        <v>No</v>
      </c>
      <c r="AC315" s="86">
        <f t="shared" si="127"/>
        <v>0</v>
      </c>
      <c r="AD315" s="86">
        <f t="shared" si="128"/>
        <v>0</v>
      </c>
      <c r="AE315" s="45">
        <f t="shared" si="129"/>
        <v>0</v>
      </c>
      <c r="AF315" s="45">
        <f t="shared" si="129"/>
        <v>0</v>
      </c>
      <c r="AG315" s="45">
        <f t="shared" si="115"/>
        <v>0</v>
      </c>
      <c r="AH315" s="47">
        <f>IF(Y315="No",0,IFERROR(ROUNDDOWN(INDEX('90% of ACR'!K:K,MATCH(H:H,'90% of ACR'!A:A,0))*IF(I315&gt;0,IF(O315&gt;0,$R$4*MAX(O315-V315,0),0),0)/I315,2),0))</f>
        <v>0</v>
      </c>
      <c r="AI315" s="86">
        <f>IF(Y315="No",0,IFERROR(ROUNDDOWN(INDEX('90% of ACR'!R:R,MATCH(H:H,'90% of ACR'!A:A,0))*IF(J315&gt;0,IF(P315&gt;0,$R$4*MAX(P315-W315,0),0),0)/J315,2),0))</f>
        <v>0</v>
      </c>
      <c r="AJ315" s="45">
        <f t="shared" si="116"/>
        <v>0</v>
      </c>
      <c r="AK315" s="45">
        <f t="shared" si="116"/>
        <v>0</v>
      </c>
      <c r="AL315" s="47">
        <f t="shared" si="117"/>
        <v>0.79</v>
      </c>
      <c r="AM315" s="47">
        <f t="shared" si="117"/>
        <v>1.2</v>
      </c>
      <c r="AN315" s="87">
        <f>IFERROR(INDEX(FeeCalc!P:P,MATCH(C315,FeeCalc!F:F,0)),0)</f>
        <v>846546.59119053464</v>
      </c>
      <c r="AO315" s="87">
        <f>IFERROR(INDEX(FeeCalc!S:S,MATCH(C315,FeeCalc!F:F,0)),0)</f>
        <v>51962.568029610477</v>
      </c>
      <c r="AP315" s="87">
        <f t="shared" si="118"/>
        <v>898509.15922014508</v>
      </c>
      <c r="AQ315" s="72">
        <f t="shared" si="119"/>
        <v>381266.18855020264</v>
      </c>
      <c r="AR315" s="72">
        <f t="shared" si="120"/>
        <v>190633.09427510132</v>
      </c>
      <c r="AS315" s="72">
        <f t="shared" si="121"/>
        <v>190633.09427510132</v>
      </c>
      <c r="AT315" s="72">
        <f>IFERROR(IFERROR(INDEX('2023 IP UPL Data'!L:L,MATCH(A:A,'2023 IP UPL Data'!B:B,0)),INDEX('2023 IMD UPL Data'!I:I,MATCH(A:A,'2023 IMD UPL Data'!B:B,0))),0)</f>
        <v>133565.63043478262</v>
      </c>
      <c r="AU315" s="72">
        <f>IFERROR(IF(F313="IMD",0,INDEX('2023 OP UPL Data'!J:J,MATCH(A:A,'2023 OP UPL Data'!B:B,0))),0)</f>
        <v>60231.451086956513</v>
      </c>
      <c r="AV315" s="45">
        <f t="shared" si="122"/>
        <v>193797.08152173914</v>
      </c>
      <c r="AW315" s="72">
        <f>IFERROR(IFERROR(INDEX('2023 IP UPL Data'!M:M,MATCH(A:A,'2023 IP UPL Data'!B:B,0)),INDEX('2023 IMD UPL Data'!K:K,MATCH(A:A,'2023 IMD UPL Data'!B:B,0))),0)</f>
        <v>253396.74</v>
      </c>
      <c r="AX315" s="72">
        <f>IFERROR(IF(F313="IMD",0,INDEX('2023 OP UPL Data'!L:L,MATCH(A:A,'2023 OP UPL Data'!B:B,0))),0)</f>
        <v>1879143.17</v>
      </c>
      <c r="AY315" s="45">
        <f t="shared" si="123"/>
        <v>2132539.91</v>
      </c>
      <c r="AZ315" s="72">
        <v>534304.34631661384</v>
      </c>
      <c r="BA315" s="72">
        <v>2667036.3661503149</v>
      </c>
      <c r="BB315" s="72">
        <f t="shared" si="124"/>
        <v>460062.93329583597</v>
      </c>
      <c r="BC315" s="72">
        <f t="shared" si="124"/>
        <v>1894731.1879805583</v>
      </c>
      <c r="BD315" s="72">
        <f t="shared" si="125"/>
        <v>2354794.121276394</v>
      </c>
      <c r="BE315" s="94">
        <f t="shared" si="126"/>
        <v>280907.60631661385</v>
      </c>
      <c r="BF315" s="94">
        <f t="shared" si="126"/>
        <v>787893.19615031499</v>
      </c>
      <c r="BG315" s="73">
        <f>IFERROR(INDEX('2023 IP UPL Data'!K:K,MATCH(A315,'2023 IP UPL Data'!B:B,0)),0)</f>
        <v>0</v>
      </c>
    </row>
    <row r="316" spans="1:59">
      <c r="A316" s="124" t="s">
        <v>425</v>
      </c>
      <c r="B316" s="184" t="s">
        <v>425</v>
      </c>
      <c r="C316" s="31" t="s">
        <v>426</v>
      </c>
      <c r="D316" s="181" t="s">
        <v>426</v>
      </c>
      <c r="E316" s="144" t="s">
        <v>3556</v>
      </c>
      <c r="F316" s="120" t="s">
        <v>1552</v>
      </c>
      <c r="G316" s="120" t="s">
        <v>300</v>
      </c>
      <c r="H316" s="43" t="str">
        <f t="shared" si="106"/>
        <v>Children's Harris</v>
      </c>
      <c r="I316" s="45">
        <f>INDEX(FeeCalc!M:M,MATCH(C:C,FeeCalc!F:F,0))</f>
        <v>210947382.35536379</v>
      </c>
      <c r="J316" s="45">
        <f>INDEX(FeeCalc!L:L,MATCH(C:C,FeeCalc!F:F,0))</f>
        <v>164628573.21006078</v>
      </c>
      <c r="K316" s="45">
        <f t="shared" si="107"/>
        <v>375575955.56542456</v>
      </c>
      <c r="L316" s="45">
        <f>IFERROR(IFERROR(INDEX('2023 IP UPL Data'!N:N,MATCH(A:A,'2023 IP UPL Data'!B:B,0)),INDEX('2023 IMD UPL Data'!M:M,MATCH(A:A,'2023 IMD UPL Data'!B:B,0))),0)</f>
        <v>282783005.55477476</v>
      </c>
      <c r="M316" s="45">
        <f>IFERROR((IF(F316="IMD",0,INDEX('2023 OP UPL Data'!M:M,MATCH(A:A,'2023 OP UPL Data'!B:B,0)))),0)</f>
        <v>41787019.351081103</v>
      </c>
      <c r="N316" s="45">
        <f t="shared" si="108"/>
        <v>324570024.90585589</v>
      </c>
      <c r="O316" s="45">
        <v>328119281.53690267</v>
      </c>
      <c r="P316" s="45">
        <v>196795011.44854522</v>
      </c>
      <c r="Q316" s="45">
        <f t="shared" si="109"/>
        <v>524914292.98544788</v>
      </c>
      <c r="R316" s="45" t="str">
        <f t="shared" si="110"/>
        <v>Yes</v>
      </c>
      <c r="S316" s="46" t="str">
        <f t="shared" si="110"/>
        <v>Yes</v>
      </c>
      <c r="T316" s="47">
        <f>ROUND(INDEX(Summary!H:H,MATCH(H:H,Summary!A:A,0)),2)</f>
        <v>1.34</v>
      </c>
      <c r="U316" s="47">
        <f>ROUND(INDEX(Summary!I:I,MATCH(H:H,Summary!A:A,0)),2)</f>
        <v>0.25</v>
      </c>
      <c r="V316" s="85">
        <f t="shared" si="111"/>
        <v>282669492.35618746</v>
      </c>
      <c r="W316" s="85">
        <f t="shared" si="111"/>
        <v>41157143.302515194</v>
      </c>
      <c r="X316" s="45">
        <f t="shared" si="112"/>
        <v>323826635.65870267</v>
      </c>
      <c r="Y316" s="45" t="s">
        <v>3223</v>
      </c>
      <c r="Z316" s="45" t="str">
        <f t="shared" si="113"/>
        <v>No</v>
      </c>
      <c r="AA316" s="45" t="str">
        <f t="shared" si="113"/>
        <v>Yes</v>
      </c>
      <c r="AB316" s="45" t="str">
        <f t="shared" si="114"/>
        <v>Yes</v>
      </c>
      <c r="AC316" s="86">
        <f t="shared" si="127"/>
        <v>0.15</v>
      </c>
      <c r="AD316" s="86">
        <f t="shared" si="128"/>
        <v>0.66</v>
      </c>
      <c r="AE316" s="45">
        <f t="shared" si="129"/>
        <v>31642107.353304565</v>
      </c>
      <c r="AF316" s="45">
        <f t="shared" si="129"/>
        <v>108654858.31864011</v>
      </c>
      <c r="AG316" s="45">
        <f t="shared" si="115"/>
        <v>140296965.67194468</v>
      </c>
      <c r="AH316" s="47">
        <f>IF(Y316="No",0,IFERROR(ROUNDDOWN(INDEX('90% of ACR'!K:K,MATCH(H:H,'90% of ACR'!A:A,0))*IF(I316&gt;0,IF(O316&gt;0,$R$4*MAX(O316-V316,0),0),0)/I316,2),0))</f>
        <v>0</v>
      </c>
      <c r="AI316" s="86">
        <f>IF(Y316="No",0,IFERROR(ROUNDDOWN(INDEX('90% of ACR'!R:R,MATCH(H:H,'90% of ACR'!A:A,0))*IF(J316&gt;0,IF(P316&gt;0,$R$4*MAX(P316-W316,0),0),0)/J316,2),0))</f>
        <v>0.65</v>
      </c>
      <c r="AJ316" s="45">
        <f t="shared" si="116"/>
        <v>0</v>
      </c>
      <c r="AK316" s="45">
        <f t="shared" si="116"/>
        <v>107008572.58653951</v>
      </c>
      <c r="AL316" s="47">
        <f t="shared" si="117"/>
        <v>1.34</v>
      </c>
      <c r="AM316" s="47">
        <f t="shared" si="117"/>
        <v>0.9</v>
      </c>
      <c r="AN316" s="87">
        <f>IFERROR(INDEX(FeeCalc!P:P,MATCH(C316,FeeCalc!F:F,0)),0)</f>
        <v>430835208.24524218</v>
      </c>
      <c r="AO316" s="87">
        <f>IFERROR(INDEX(FeeCalc!S:S,MATCH(C316,FeeCalc!F:F,0)),0)</f>
        <v>26299392.355913438</v>
      </c>
      <c r="AP316" s="87">
        <f t="shared" si="118"/>
        <v>457134600.60115564</v>
      </c>
      <c r="AQ316" s="72">
        <f t="shared" si="119"/>
        <v>193976839.3422896</v>
      </c>
      <c r="AR316" s="72">
        <f t="shared" si="120"/>
        <v>96988419.671144798</v>
      </c>
      <c r="AS316" s="72">
        <f t="shared" si="121"/>
        <v>96988419.671144798</v>
      </c>
      <c r="AT316" s="72">
        <f>IFERROR(IFERROR(INDEX('2023 IP UPL Data'!L:L,MATCH(A:A,'2023 IP UPL Data'!B:B,0)),INDEX('2023 IMD UPL Data'!I:I,MATCH(A:A,'2023 IMD UPL Data'!B:B,0))),0)</f>
        <v>289752295.22522521</v>
      </c>
      <c r="AU316" s="72">
        <f>IFERROR(IF(F314="IMD",0,INDEX('2023 OP UPL Data'!J:J,MATCH(A:A,'2023 OP UPL Data'!B:B,0))),0)</f>
        <v>134891792.91891891</v>
      </c>
      <c r="AV316" s="45">
        <f t="shared" si="122"/>
        <v>424644088.14414412</v>
      </c>
      <c r="AW316" s="72">
        <f>IFERROR(IFERROR(INDEX('2023 IP UPL Data'!M:M,MATCH(A:A,'2023 IP UPL Data'!B:B,0)),INDEX('2023 IMD UPL Data'!K:K,MATCH(A:A,'2023 IMD UPL Data'!B:B,0))),0)</f>
        <v>572535300.77999997</v>
      </c>
      <c r="AX316" s="72">
        <f>IFERROR(IF(F314="IMD",0,INDEX('2023 OP UPL Data'!L:L,MATCH(A:A,'2023 OP UPL Data'!B:B,0))),0)</f>
        <v>176678812.27000001</v>
      </c>
      <c r="AY316" s="45">
        <f t="shared" si="123"/>
        <v>749214113.04999995</v>
      </c>
      <c r="AZ316" s="72">
        <v>617871576.76212788</v>
      </c>
      <c r="BA316" s="72">
        <v>331686804.36746413</v>
      </c>
      <c r="BB316" s="72">
        <f t="shared" si="124"/>
        <v>335202084.40594041</v>
      </c>
      <c r="BC316" s="72">
        <f t="shared" si="124"/>
        <v>290529661.06494892</v>
      </c>
      <c r="BD316" s="72">
        <f t="shared" si="125"/>
        <v>625731745.47088933</v>
      </c>
      <c r="BE316" s="94">
        <f t="shared" si="126"/>
        <v>45336275.982127905</v>
      </c>
      <c r="BF316" s="94">
        <f t="shared" si="126"/>
        <v>155007992.09746411</v>
      </c>
      <c r="BG316" s="73">
        <f>IFERROR(INDEX('2023 IP UPL Data'!K:K,MATCH(A316,'2023 IP UPL Data'!B:B,0)),0)</f>
        <v>0</v>
      </c>
    </row>
    <row r="317" spans="1:59">
      <c r="A317" s="124" t="s">
        <v>2751</v>
      </c>
      <c r="B317" s="149" t="s">
        <v>2751</v>
      </c>
      <c r="C317" s="31" t="s">
        <v>2752</v>
      </c>
      <c r="D317" s="181" t="s">
        <v>2752</v>
      </c>
      <c r="E317" s="144" t="s">
        <v>3557</v>
      </c>
      <c r="F317" s="120" t="s">
        <v>2718</v>
      </c>
      <c r="G317" s="120" t="s">
        <v>1366</v>
      </c>
      <c r="H317" s="43" t="str">
        <f t="shared" si="106"/>
        <v>Urban Tarrant</v>
      </c>
      <c r="I317" s="45">
        <f>INDEX(FeeCalc!M:M,MATCH(C:C,FeeCalc!F:F,0))</f>
        <v>372960.80799236352</v>
      </c>
      <c r="J317" s="45">
        <f>INDEX(FeeCalc!L:L,MATCH(C:C,FeeCalc!F:F,0))</f>
        <v>182310.10554740546</v>
      </c>
      <c r="K317" s="45">
        <f t="shared" si="107"/>
        <v>555270.91353976901</v>
      </c>
      <c r="L317" s="45">
        <f>IFERROR(IFERROR(INDEX('2023 IP UPL Data'!N:N,MATCH(A:A,'2023 IP UPL Data'!B:B,0)),INDEX('2023 IMD UPL Data'!M:M,MATCH(A:A,'2023 IMD UPL Data'!B:B,0))),0)</f>
        <v>199684.74374999991</v>
      </c>
      <c r="M317" s="45">
        <f>IFERROR((IF(F317="IMD",0,INDEX('2023 OP UPL Data'!M:M,MATCH(A:A,'2023 OP UPL Data'!B:B,0)))),0)</f>
        <v>536150.54625000001</v>
      </c>
      <c r="N317" s="45">
        <f t="shared" si="108"/>
        <v>735835.28999999992</v>
      </c>
      <c r="O317" s="45">
        <v>605077.28445262823</v>
      </c>
      <c r="P317" s="45">
        <v>462068.14177455951</v>
      </c>
      <c r="Q317" s="45">
        <f t="shared" si="109"/>
        <v>1067145.4262271877</v>
      </c>
      <c r="R317" s="45" t="str">
        <f t="shared" si="110"/>
        <v>Yes</v>
      </c>
      <c r="S317" s="46" t="str">
        <f t="shared" si="110"/>
        <v>Yes</v>
      </c>
      <c r="T317" s="47">
        <f>ROUND(INDEX(Summary!H:H,MATCH(H:H,Summary!A:A,0)),2)</f>
        <v>1.68</v>
      </c>
      <c r="U317" s="47">
        <f>ROUND(INDEX(Summary!I:I,MATCH(H:H,Summary!A:A,0)),2)</f>
        <v>1.42</v>
      </c>
      <c r="V317" s="85">
        <f t="shared" si="111"/>
        <v>626574.15742717066</v>
      </c>
      <c r="W317" s="85">
        <f t="shared" si="111"/>
        <v>258880.34987731575</v>
      </c>
      <c r="X317" s="45">
        <f t="shared" si="112"/>
        <v>885454.50730448635</v>
      </c>
      <c r="Y317" s="45" t="s">
        <v>3223</v>
      </c>
      <c r="Z317" s="45" t="str">
        <f t="shared" si="113"/>
        <v>No</v>
      </c>
      <c r="AA317" s="45" t="str">
        <f t="shared" si="113"/>
        <v>Yes</v>
      </c>
      <c r="AB317" s="45" t="str">
        <f t="shared" si="114"/>
        <v>Yes</v>
      </c>
      <c r="AC317" s="86">
        <f t="shared" si="127"/>
        <v>0</v>
      </c>
      <c r="AD317" s="86">
        <f t="shared" si="128"/>
        <v>0.78</v>
      </c>
      <c r="AE317" s="45">
        <f t="shared" si="129"/>
        <v>0</v>
      </c>
      <c r="AF317" s="45">
        <f t="shared" si="129"/>
        <v>142201.88232697625</v>
      </c>
      <c r="AG317" s="45">
        <f t="shared" si="115"/>
        <v>142201.88232697625</v>
      </c>
      <c r="AH317" s="47">
        <f>IF(Y317="No",0,IFERROR(ROUNDDOWN(INDEX('90% of ACR'!K:K,MATCH(H:H,'90% of ACR'!A:A,0))*IF(I317&gt;0,IF(O317&gt;0,$R$4*MAX(O317-V317,0),0),0)/I317,2),0))</f>
        <v>0</v>
      </c>
      <c r="AI317" s="86">
        <f>IF(Y317="No",0,IFERROR(ROUNDDOWN(INDEX('90% of ACR'!R:R,MATCH(H:H,'90% of ACR'!A:A,0))*IF(J317&gt;0,IF(P317&gt;0,$R$4*MAX(P317-W317,0),0),0)/J317,2),0))</f>
        <v>0.63</v>
      </c>
      <c r="AJ317" s="45">
        <f t="shared" si="116"/>
        <v>0</v>
      </c>
      <c r="AK317" s="45">
        <f t="shared" si="116"/>
        <v>114855.36649486543</v>
      </c>
      <c r="AL317" s="47">
        <f t="shared" si="117"/>
        <v>1.68</v>
      </c>
      <c r="AM317" s="47">
        <f t="shared" si="117"/>
        <v>2.0499999999999998</v>
      </c>
      <c r="AN317" s="87">
        <f>IFERROR(INDEX(FeeCalc!P:P,MATCH(C317,FeeCalc!F:F,0)),0)</f>
        <v>1000309.8737993517</v>
      </c>
      <c r="AO317" s="87">
        <f>IFERROR(INDEX(FeeCalc!S:S,MATCH(C317,FeeCalc!F:F,0)),0)</f>
        <v>63142.378960316644</v>
      </c>
      <c r="AP317" s="87">
        <f t="shared" si="118"/>
        <v>1063452.2527596683</v>
      </c>
      <c r="AQ317" s="72">
        <f t="shared" si="119"/>
        <v>451256.82131801563</v>
      </c>
      <c r="AR317" s="72">
        <f t="shared" si="120"/>
        <v>225628.41065900782</v>
      </c>
      <c r="AS317" s="72">
        <f t="shared" si="121"/>
        <v>225628.41065900782</v>
      </c>
      <c r="AT317" s="72">
        <f>IFERROR(IFERROR(INDEX('2023 IP UPL Data'!L:L,MATCH(A:A,'2023 IP UPL Data'!B:B,0)),INDEX('2023 IMD UPL Data'!I:I,MATCH(A:A,'2023 IMD UPL Data'!B:B,0))),0)</f>
        <v>434219.70625000005</v>
      </c>
      <c r="AU317" s="72">
        <f>IFERROR(IF(F315="IMD",0,INDEX('2023 OP UPL Data'!J:J,MATCH(A:A,'2023 OP UPL Data'!B:B,0))),0)</f>
        <v>93009.243749999994</v>
      </c>
      <c r="AV317" s="45">
        <f t="shared" si="122"/>
        <v>527228.95000000007</v>
      </c>
      <c r="AW317" s="72">
        <f>IFERROR(IFERROR(INDEX('2023 IP UPL Data'!M:M,MATCH(A:A,'2023 IP UPL Data'!B:B,0)),INDEX('2023 IMD UPL Data'!K:K,MATCH(A:A,'2023 IMD UPL Data'!B:B,0))),0)</f>
        <v>633904.44999999995</v>
      </c>
      <c r="AX317" s="72">
        <f>IFERROR(IF(F315="IMD",0,INDEX('2023 OP UPL Data'!L:L,MATCH(A:A,'2023 OP UPL Data'!B:B,0))),0)</f>
        <v>629159.79</v>
      </c>
      <c r="AY317" s="45">
        <f t="shared" si="123"/>
        <v>1263064.24</v>
      </c>
      <c r="AZ317" s="72">
        <v>1039296.9907026283</v>
      </c>
      <c r="BA317" s="72">
        <v>555077.38552455953</v>
      </c>
      <c r="BB317" s="72">
        <f t="shared" si="124"/>
        <v>412722.83327545761</v>
      </c>
      <c r="BC317" s="72">
        <f t="shared" si="124"/>
        <v>296197.03564724379</v>
      </c>
      <c r="BD317" s="72">
        <f t="shared" si="125"/>
        <v>708919.86892270157</v>
      </c>
      <c r="BE317" s="94">
        <f t="shared" si="126"/>
        <v>405392.54070262832</v>
      </c>
      <c r="BF317" s="94">
        <f t="shared" si="126"/>
        <v>0</v>
      </c>
      <c r="BG317" s="73">
        <f>IFERROR(INDEX('2023 IP UPL Data'!K:K,MATCH(A317,'2023 IP UPL Data'!B:B,0)),0)</f>
        <v>0</v>
      </c>
    </row>
    <row r="318" spans="1:59">
      <c r="A318" s="124" t="s">
        <v>1050</v>
      </c>
      <c r="B318" s="149" t="s">
        <v>1050</v>
      </c>
      <c r="C318" s="31" t="s">
        <v>1051</v>
      </c>
      <c r="D318" s="181" t="s">
        <v>1051</v>
      </c>
      <c r="E318" s="144" t="s">
        <v>3558</v>
      </c>
      <c r="F318" s="120" t="s">
        <v>2768</v>
      </c>
      <c r="G318" s="120" t="s">
        <v>1489</v>
      </c>
      <c r="H318" s="43" t="str">
        <f t="shared" si="106"/>
        <v>Rural MRSA Central</v>
      </c>
      <c r="I318" s="45">
        <f>INDEX(FeeCalc!M:M,MATCH(C:C,FeeCalc!F:F,0))</f>
        <v>71765.304554547547</v>
      </c>
      <c r="J318" s="45">
        <f>INDEX(FeeCalc!L:L,MATCH(C:C,FeeCalc!F:F,0))</f>
        <v>271025.30174936587</v>
      </c>
      <c r="K318" s="45">
        <f t="shared" si="107"/>
        <v>342790.6063039134</v>
      </c>
      <c r="L318" s="45">
        <f>IFERROR(IFERROR(INDEX('2023 IP UPL Data'!N:N,MATCH(A:A,'2023 IP UPL Data'!B:B,0)),INDEX('2023 IMD UPL Data'!M:M,MATCH(A:A,'2023 IMD UPL Data'!B:B,0))),0)</f>
        <v>-30903.525319660002</v>
      </c>
      <c r="M318" s="45">
        <f>IFERROR((IF(F318="IMD",0,INDEX('2023 OP UPL Data'!M:M,MATCH(A:A,'2023 OP UPL Data'!B:B,0)))),0)</f>
        <v>96335.258675496705</v>
      </c>
      <c r="N318" s="45">
        <f t="shared" si="108"/>
        <v>65431.733355836703</v>
      </c>
      <c r="O318" s="45">
        <v>-29218.495372132689</v>
      </c>
      <c r="P318" s="45">
        <v>235747.20120828017</v>
      </c>
      <c r="Q318" s="45">
        <f t="shared" si="109"/>
        <v>206528.70583614748</v>
      </c>
      <c r="R318" s="45" t="str">
        <f t="shared" si="110"/>
        <v>No</v>
      </c>
      <c r="S318" s="46" t="str">
        <f t="shared" si="110"/>
        <v>Yes</v>
      </c>
      <c r="T318" s="47">
        <f>ROUND(INDEX(Summary!H:H,MATCH(H:H,Summary!A:A,0)),2)</f>
        <v>0</v>
      </c>
      <c r="U318" s="47">
        <f>ROUND(INDEX(Summary!I:I,MATCH(H:H,Summary!A:A,0)),2)</f>
        <v>0.17</v>
      </c>
      <c r="V318" s="85">
        <f t="shared" si="111"/>
        <v>0</v>
      </c>
      <c r="W318" s="85">
        <f t="shared" si="111"/>
        <v>46074.301297392201</v>
      </c>
      <c r="X318" s="45">
        <f t="shared" si="112"/>
        <v>46074.301297392201</v>
      </c>
      <c r="Y318" s="45" t="s">
        <v>3223</v>
      </c>
      <c r="Z318" s="45" t="str">
        <f t="shared" si="113"/>
        <v>No</v>
      </c>
      <c r="AA318" s="45" t="str">
        <f t="shared" si="113"/>
        <v>Yes</v>
      </c>
      <c r="AB318" s="45" t="str">
        <f t="shared" si="114"/>
        <v>Yes</v>
      </c>
      <c r="AC318" s="86">
        <f t="shared" si="127"/>
        <v>0</v>
      </c>
      <c r="AD318" s="86">
        <f t="shared" si="128"/>
        <v>0.49</v>
      </c>
      <c r="AE318" s="45">
        <f t="shared" si="129"/>
        <v>0</v>
      </c>
      <c r="AF318" s="45">
        <f t="shared" si="129"/>
        <v>132802.39785718927</v>
      </c>
      <c r="AG318" s="45">
        <f t="shared" si="115"/>
        <v>132802.39785718927</v>
      </c>
      <c r="AH318" s="47">
        <f>IF(Y318="No",0,IFERROR(ROUNDDOWN(INDEX('90% of ACR'!K:K,MATCH(H:H,'90% of ACR'!A:A,0))*IF(I318&gt;0,IF(O318&gt;0,$R$4*MAX(O318-V318,0),0),0)/I318,2),0))</f>
        <v>0</v>
      </c>
      <c r="AI318" s="86">
        <f>IF(Y318="No",0,IFERROR(ROUNDDOWN(INDEX('90% of ACR'!R:R,MATCH(H:H,'90% of ACR'!A:A,0))*IF(J318&gt;0,IF(P318&gt;0,$R$4*MAX(P318-W318,0),0),0)/J318,2),0))</f>
        <v>0.48</v>
      </c>
      <c r="AJ318" s="45">
        <f t="shared" si="116"/>
        <v>0</v>
      </c>
      <c r="AK318" s="45">
        <f t="shared" si="116"/>
        <v>130092.14483969561</v>
      </c>
      <c r="AL318" s="47">
        <f t="shared" si="117"/>
        <v>0</v>
      </c>
      <c r="AM318" s="47">
        <f t="shared" si="117"/>
        <v>0.65</v>
      </c>
      <c r="AN318" s="87">
        <f>IFERROR(INDEX(FeeCalc!P:P,MATCH(C318,FeeCalc!F:F,0)),0)</f>
        <v>176166.44613708783</v>
      </c>
      <c r="AO318" s="87">
        <f>IFERROR(INDEX(FeeCalc!S:S,MATCH(C318,FeeCalc!F:F,0)),0)</f>
        <v>10861.490934269783</v>
      </c>
      <c r="AP318" s="87">
        <f t="shared" si="118"/>
        <v>187027.93707135762</v>
      </c>
      <c r="AQ318" s="72">
        <f t="shared" si="119"/>
        <v>79361.938593363331</v>
      </c>
      <c r="AR318" s="72">
        <f t="shared" si="120"/>
        <v>39680.969296681666</v>
      </c>
      <c r="AS318" s="72">
        <f t="shared" si="121"/>
        <v>39680.969296681666</v>
      </c>
      <c r="AT318" s="72">
        <f>IFERROR(IFERROR(INDEX('2023 IP UPL Data'!L:L,MATCH(A:A,'2023 IP UPL Data'!B:B,0)),INDEX('2023 IMD UPL Data'!I:I,MATCH(A:A,'2023 IMD UPL Data'!B:B,0))),0)</f>
        <v>89464.625319660001</v>
      </c>
      <c r="AU318" s="72">
        <f>IFERROR(IF(F316="IMD",0,INDEX('2023 OP UPL Data'!J:J,MATCH(A:A,'2023 OP UPL Data'!B:B,0))),0)</f>
        <v>125965.72132450331</v>
      </c>
      <c r="AV318" s="45">
        <f t="shared" si="122"/>
        <v>215430.34664416331</v>
      </c>
      <c r="AW318" s="72">
        <f>IFERROR(IFERROR(INDEX('2023 IP UPL Data'!M:M,MATCH(A:A,'2023 IP UPL Data'!B:B,0)),INDEX('2023 IMD UPL Data'!K:K,MATCH(A:A,'2023 IMD UPL Data'!B:B,0))),0)</f>
        <v>58561.1</v>
      </c>
      <c r="AX318" s="72">
        <f>IFERROR(IF(F316="IMD",0,INDEX('2023 OP UPL Data'!L:L,MATCH(A:A,'2023 OP UPL Data'!B:B,0))),0)</f>
        <v>222300.98</v>
      </c>
      <c r="AY318" s="45">
        <f t="shared" si="123"/>
        <v>280862.08000000002</v>
      </c>
      <c r="AZ318" s="72">
        <v>60246.129947527312</v>
      </c>
      <c r="BA318" s="72">
        <v>361712.92253278347</v>
      </c>
      <c r="BB318" s="72">
        <f t="shared" si="124"/>
        <v>60246.129947527312</v>
      </c>
      <c r="BC318" s="72">
        <f t="shared" si="124"/>
        <v>315638.62123539124</v>
      </c>
      <c r="BD318" s="72">
        <f t="shared" si="125"/>
        <v>375884.75118291855</v>
      </c>
      <c r="BE318" s="94">
        <f t="shared" si="126"/>
        <v>1685.0299475273132</v>
      </c>
      <c r="BF318" s="94">
        <f t="shared" si="126"/>
        <v>139411.94253278346</v>
      </c>
      <c r="BG318" s="73">
        <f>IFERROR(INDEX('2023 IP UPL Data'!K:K,MATCH(A318,'2023 IP UPL Data'!B:B,0)),0)</f>
        <v>0</v>
      </c>
    </row>
    <row r="319" spans="1:59">
      <c r="A319" s="124" t="s">
        <v>3596</v>
      </c>
      <c r="B319" s="149" t="s">
        <v>371</v>
      </c>
      <c r="C319" s="31" t="s">
        <v>372</v>
      </c>
      <c r="D319" s="181" t="s">
        <v>372</v>
      </c>
      <c r="E319" s="144" t="s">
        <v>3559</v>
      </c>
      <c r="F319" s="120" t="s">
        <v>2768</v>
      </c>
      <c r="G319" s="120" t="s">
        <v>1489</v>
      </c>
      <c r="H319" s="43" t="str">
        <f t="shared" si="106"/>
        <v>Rural MRSA Central</v>
      </c>
      <c r="I319" s="45">
        <f>INDEX(FeeCalc!M:M,MATCH(C:C,FeeCalc!F:F,0))</f>
        <v>162115.48853655742</v>
      </c>
      <c r="J319" s="45">
        <f>INDEX(FeeCalc!L:L,MATCH(C:C,FeeCalc!F:F,0))</f>
        <v>0</v>
      </c>
      <c r="K319" s="45">
        <f t="shared" si="107"/>
        <v>162115.48853655742</v>
      </c>
      <c r="L319" s="45">
        <f>IFERROR(IFERROR(INDEX('2023 IP UPL Data'!N:N,MATCH(A:A,'2023 IP UPL Data'!B:B,0)),INDEX('2023 IMD UPL Data'!M:M,MATCH(A:A,'2023 IMD UPL Data'!B:B,0))),0)</f>
        <v>-1229.4218543046356</v>
      </c>
      <c r="M319" s="45">
        <f>IFERROR((IF(F319="IMD",0,INDEX('2023 OP UPL Data'!M:M,MATCH(A:A,'2023 OP UPL Data'!B:B,0)))),0)</f>
        <v>54890.367549668881</v>
      </c>
      <c r="N319" s="45">
        <f t="shared" si="108"/>
        <v>53660.945695364244</v>
      </c>
      <c r="O319" s="45">
        <v>-1559.8688650410188</v>
      </c>
      <c r="P319" s="45">
        <v>42727.717121943337</v>
      </c>
      <c r="Q319" s="45">
        <f t="shared" si="109"/>
        <v>41167.848256902318</v>
      </c>
      <c r="R319" s="45" t="str">
        <f t="shared" si="110"/>
        <v>No</v>
      </c>
      <c r="S319" s="46" t="str">
        <f t="shared" si="110"/>
        <v>Yes</v>
      </c>
      <c r="T319" s="47">
        <f>ROUND(INDEX(Summary!H:H,MATCH(H:H,Summary!A:A,0)),2)</f>
        <v>0</v>
      </c>
      <c r="U319" s="47">
        <f>ROUND(INDEX(Summary!I:I,MATCH(H:H,Summary!A:A,0)),2)</f>
        <v>0.17</v>
      </c>
      <c r="V319" s="85">
        <f t="shared" si="111"/>
        <v>0</v>
      </c>
      <c r="W319" s="85">
        <f t="shared" si="111"/>
        <v>0</v>
      </c>
      <c r="X319" s="45">
        <f t="shared" si="112"/>
        <v>0</v>
      </c>
      <c r="Y319" s="45" t="s">
        <v>3223</v>
      </c>
      <c r="Z319" s="45" t="str">
        <f t="shared" si="113"/>
        <v>No</v>
      </c>
      <c r="AA319" s="45" t="str">
        <f t="shared" si="113"/>
        <v>No</v>
      </c>
      <c r="AB319" s="45" t="str">
        <f t="shared" si="114"/>
        <v>No</v>
      </c>
      <c r="AC319" s="86">
        <f t="shared" si="127"/>
        <v>0</v>
      </c>
      <c r="AD319" s="86">
        <f t="shared" si="128"/>
        <v>0</v>
      </c>
      <c r="AE319" s="45">
        <f t="shared" si="129"/>
        <v>0</v>
      </c>
      <c r="AF319" s="45">
        <f t="shared" si="129"/>
        <v>0</v>
      </c>
      <c r="AG319" s="45">
        <f t="shared" si="115"/>
        <v>0</v>
      </c>
      <c r="AH319" s="47">
        <f>IF(Y319="No",0,IFERROR(ROUNDDOWN(INDEX('90% of ACR'!K:K,MATCH(H:H,'90% of ACR'!A:A,0))*IF(I319&gt;0,IF(O319&gt;0,$R$4*MAX(O319-V319,0),0),0)/I319,2),0))</f>
        <v>0</v>
      </c>
      <c r="AI319" s="86">
        <f>IF(Y319="No",0,IFERROR(ROUNDDOWN(INDEX('90% of ACR'!R:R,MATCH(H:H,'90% of ACR'!A:A,0))*IF(J319&gt;0,IF(P319&gt;0,$R$4*MAX(P319-W319,0),0),0)/J319,2),0))</f>
        <v>0</v>
      </c>
      <c r="AJ319" s="45">
        <f t="shared" si="116"/>
        <v>0</v>
      </c>
      <c r="AK319" s="45">
        <f t="shared" si="116"/>
        <v>0</v>
      </c>
      <c r="AL319" s="47">
        <f t="shared" si="117"/>
        <v>0</v>
      </c>
      <c r="AM319" s="47">
        <f t="shared" si="117"/>
        <v>0.17</v>
      </c>
      <c r="AN319" s="87">
        <f>IFERROR(INDEX(FeeCalc!P:P,MATCH(C319,FeeCalc!F:F,0)),0)</f>
        <v>0</v>
      </c>
      <c r="AO319" s="87">
        <f>IFERROR(INDEX(FeeCalc!S:S,MATCH(C319,FeeCalc!F:F,0)),0)</f>
        <v>0</v>
      </c>
      <c r="AP319" s="87">
        <f t="shared" si="118"/>
        <v>0</v>
      </c>
      <c r="AQ319" s="72">
        <f t="shared" si="119"/>
        <v>0</v>
      </c>
      <c r="AR319" s="72">
        <f t="shared" si="120"/>
        <v>0</v>
      </c>
      <c r="AS319" s="72">
        <f t="shared" si="121"/>
        <v>0</v>
      </c>
      <c r="AT319" s="72">
        <f>IFERROR(IFERROR(INDEX('2023 IP UPL Data'!L:L,MATCH(A:A,'2023 IP UPL Data'!B:B,0)),INDEX('2023 IMD UPL Data'!I:I,MATCH(A:A,'2023 IMD UPL Data'!B:B,0))),0)</f>
        <v>2395.7218543046356</v>
      </c>
      <c r="AU319" s="72">
        <f>IFERROR(IF(F317="IMD",0,INDEX('2023 OP UPL Data'!J:J,MATCH(A:A,'2023 OP UPL Data'!B:B,0))),0)</f>
        <v>145460.41245033112</v>
      </c>
      <c r="AV319" s="45">
        <f t="shared" si="122"/>
        <v>147856.13430463575</v>
      </c>
      <c r="AW319" s="72">
        <f>IFERROR(IFERROR(INDEX('2023 IP UPL Data'!M:M,MATCH(A:A,'2023 IP UPL Data'!B:B,0)),INDEX('2023 IMD UPL Data'!K:K,MATCH(A:A,'2023 IMD UPL Data'!B:B,0))),0)</f>
        <v>1166.3</v>
      </c>
      <c r="AX319" s="72">
        <f>IFERROR(IF(F317="IMD",0,INDEX('2023 OP UPL Data'!L:L,MATCH(A:A,'2023 OP UPL Data'!B:B,0))),0)</f>
        <v>200350.78</v>
      </c>
      <c r="AY319" s="45">
        <f t="shared" si="123"/>
        <v>201517.08</v>
      </c>
      <c r="AZ319" s="72">
        <v>835.85298926361679</v>
      </c>
      <c r="BA319" s="72">
        <v>188188.12957227445</v>
      </c>
      <c r="BB319" s="72">
        <f t="shared" si="124"/>
        <v>835.85298926361679</v>
      </c>
      <c r="BC319" s="72">
        <f t="shared" si="124"/>
        <v>188188.12957227445</v>
      </c>
      <c r="BD319" s="72">
        <f t="shared" si="125"/>
        <v>189023.98256153808</v>
      </c>
      <c r="BE319" s="94">
        <f t="shared" si="126"/>
        <v>0</v>
      </c>
      <c r="BF319" s="94">
        <f t="shared" si="126"/>
        <v>0</v>
      </c>
      <c r="BG319" s="73">
        <f>IFERROR(INDEX('2023 IP UPL Data'!K:K,MATCH(A319,'2023 IP UPL Data'!B:B,0)),0)</f>
        <v>0</v>
      </c>
    </row>
    <row r="320" spans="1:59">
      <c r="A320" s="124" t="s">
        <v>500</v>
      </c>
      <c r="B320" s="149" t="s">
        <v>500</v>
      </c>
      <c r="C320" s="31" t="s">
        <v>501</v>
      </c>
      <c r="D320" s="181" t="s">
        <v>501</v>
      </c>
      <c r="E320" s="144" t="s">
        <v>3560</v>
      </c>
      <c r="F320" s="120" t="s">
        <v>2768</v>
      </c>
      <c r="G320" s="120" t="s">
        <v>227</v>
      </c>
      <c r="H320" s="43" t="str">
        <f t="shared" si="106"/>
        <v>Rural MRSA West</v>
      </c>
      <c r="I320" s="45">
        <f>INDEX(FeeCalc!M:M,MATCH(C:C,FeeCalc!F:F,0))</f>
        <v>56061.228363725881</v>
      </c>
      <c r="J320" s="45">
        <f>INDEX(FeeCalc!L:L,MATCH(C:C,FeeCalc!F:F,0))</f>
        <v>290901.77452121396</v>
      </c>
      <c r="K320" s="45">
        <f t="shared" si="107"/>
        <v>346963.00288493984</v>
      </c>
      <c r="L320" s="45">
        <f>IFERROR(IFERROR(INDEX('2023 IP UPL Data'!N:N,MATCH(A:A,'2023 IP UPL Data'!B:B,0)),INDEX('2023 IMD UPL Data'!M:M,MATCH(A:A,'2023 IMD UPL Data'!B:B,0))),0)</f>
        <v>-11299.191661161931</v>
      </c>
      <c r="M320" s="45">
        <f>IFERROR((IF(F320="IMD",0,INDEX('2023 OP UPL Data'!M:M,MATCH(A:A,'2023 OP UPL Data'!B:B,0)))),0)</f>
        <v>28329.656000000017</v>
      </c>
      <c r="N320" s="45">
        <f t="shared" si="108"/>
        <v>17030.464338838086</v>
      </c>
      <c r="O320" s="45">
        <v>-5776.8800477595087</v>
      </c>
      <c r="P320" s="45">
        <v>66695.912762784108</v>
      </c>
      <c r="Q320" s="45">
        <f t="shared" si="109"/>
        <v>60919.032715024601</v>
      </c>
      <c r="R320" s="45" t="str">
        <f t="shared" si="110"/>
        <v>No</v>
      </c>
      <c r="S320" s="46" t="str">
        <f t="shared" si="110"/>
        <v>Yes</v>
      </c>
      <c r="T320" s="47">
        <f>ROUND(INDEX(Summary!H:H,MATCH(H:H,Summary!A:A,0)),2)</f>
        <v>0</v>
      </c>
      <c r="U320" s="47">
        <f>ROUND(INDEX(Summary!I:I,MATCH(H:H,Summary!A:A,0)),2)</f>
        <v>0.28999999999999998</v>
      </c>
      <c r="V320" s="85">
        <f t="shared" si="111"/>
        <v>0</v>
      </c>
      <c r="W320" s="85">
        <f t="shared" si="111"/>
        <v>84361.514611152044</v>
      </c>
      <c r="X320" s="45">
        <f t="shared" si="112"/>
        <v>84361.514611152044</v>
      </c>
      <c r="Y320" s="45" t="s">
        <v>3223</v>
      </c>
      <c r="Z320" s="45" t="str">
        <f t="shared" si="113"/>
        <v>No</v>
      </c>
      <c r="AA320" s="45" t="str">
        <f t="shared" si="113"/>
        <v>No</v>
      </c>
      <c r="AB320" s="45" t="str">
        <f t="shared" si="114"/>
        <v>No</v>
      </c>
      <c r="AC320" s="86">
        <f t="shared" si="127"/>
        <v>0</v>
      </c>
      <c r="AD320" s="86">
        <f t="shared" si="128"/>
        <v>0</v>
      </c>
      <c r="AE320" s="45">
        <f t="shared" si="129"/>
        <v>0</v>
      </c>
      <c r="AF320" s="45">
        <f t="shared" si="129"/>
        <v>0</v>
      </c>
      <c r="AG320" s="45">
        <f t="shared" si="115"/>
        <v>0</v>
      </c>
      <c r="AH320" s="47">
        <f>IF(Y320="No",0,IFERROR(ROUNDDOWN(INDEX('90% of ACR'!K:K,MATCH(H:H,'90% of ACR'!A:A,0))*IF(I320&gt;0,IF(O320&gt;0,$R$4*MAX(O320-V320,0),0),0)/I320,2),0))</f>
        <v>0</v>
      </c>
      <c r="AI320" s="86">
        <f>IF(Y320="No",0,IFERROR(ROUNDDOWN(INDEX('90% of ACR'!R:R,MATCH(H:H,'90% of ACR'!A:A,0))*IF(J320&gt;0,IF(P320&gt;0,$R$4*MAX(P320-W320,0),0),0)/J320,2),0))</f>
        <v>0</v>
      </c>
      <c r="AJ320" s="45">
        <f t="shared" si="116"/>
        <v>0</v>
      </c>
      <c r="AK320" s="45">
        <f t="shared" si="116"/>
        <v>0</v>
      </c>
      <c r="AL320" s="47">
        <f t="shared" si="117"/>
        <v>0</v>
      </c>
      <c r="AM320" s="47">
        <f t="shared" si="117"/>
        <v>0.28999999999999998</v>
      </c>
      <c r="AN320" s="87">
        <f>IFERROR(INDEX(FeeCalc!P:P,MATCH(C320,FeeCalc!F:F,0)),0)</f>
        <v>84361.514611152044</v>
      </c>
      <c r="AO320" s="87">
        <f>IFERROR(INDEX(FeeCalc!S:S,MATCH(C320,FeeCalc!F:F,0)),0)</f>
        <v>5212.659847489922</v>
      </c>
      <c r="AP320" s="87">
        <f t="shared" si="118"/>
        <v>89574.174458641966</v>
      </c>
      <c r="AQ320" s="72">
        <f t="shared" si="119"/>
        <v>38009.188596384469</v>
      </c>
      <c r="AR320" s="72">
        <f t="shared" si="120"/>
        <v>19004.594298192234</v>
      </c>
      <c r="AS320" s="72">
        <f t="shared" si="121"/>
        <v>19004.594298192234</v>
      </c>
      <c r="AT320" s="72">
        <f>IFERROR(IFERROR(INDEX('2023 IP UPL Data'!L:L,MATCH(A:A,'2023 IP UPL Data'!B:B,0)),INDEX('2023 IMD UPL Data'!I:I,MATCH(A:A,'2023 IMD UPL Data'!B:B,0))),0)</f>
        <v>19003.531661161931</v>
      </c>
      <c r="AU320" s="72">
        <f>IFERROR(IF(F318="IMD",0,INDEX('2023 OP UPL Data'!J:J,MATCH(A:A,'2023 OP UPL Data'!B:B,0))),0)</f>
        <v>99220.773999999976</v>
      </c>
      <c r="AV320" s="45">
        <f t="shared" si="122"/>
        <v>118224.30566116191</v>
      </c>
      <c r="AW320" s="72">
        <f>IFERROR(IFERROR(INDEX('2023 IP UPL Data'!M:M,MATCH(A:A,'2023 IP UPL Data'!B:B,0)),INDEX('2023 IMD UPL Data'!K:K,MATCH(A:A,'2023 IMD UPL Data'!B:B,0))),0)</f>
        <v>7704.34</v>
      </c>
      <c r="AX320" s="72">
        <f>IFERROR(IF(F318="IMD",0,INDEX('2023 OP UPL Data'!L:L,MATCH(A:A,'2023 OP UPL Data'!B:B,0))),0)</f>
        <v>127550.43</v>
      </c>
      <c r="AY320" s="45">
        <f t="shared" si="123"/>
        <v>135254.76999999999</v>
      </c>
      <c r="AZ320" s="72">
        <v>13226.651613402422</v>
      </c>
      <c r="BA320" s="72">
        <v>165916.68676278408</v>
      </c>
      <c r="BB320" s="72">
        <f t="shared" si="124"/>
        <v>13226.651613402422</v>
      </c>
      <c r="BC320" s="72">
        <f t="shared" si="124"/>
        <v>81555.172151632039</v>
      </c>
      <c r="BD320" s="72">
        <f t="shared" si="125"/>
        <v>94781.823765034453</v>
      </c>
      <c r="BE320" s="94">
        <f t="shared" si="126"/>
        <v>5522.3116134024222</v>
      </c>
      <c r="BF320" s="94">
        <f t="shared" si="126"/>
        <v>38366.256762784091</v>
      </c>
      <c r="BG320" s="73">
        <f>IFERROR(INDEX('2023 IP UPL Data'!K:K,MATCH(A320,'2023 IP UPL Data'!B:B,0)),0)</f>
        <v>0</v>
      </c>
    </row>
    <row r="321" spans="1:59">
      <c r="A321" s="124" t="s">
        <v>1047</v>
      </c>
      <c r="B321" s="149" t="s">
        <v>1047</v>
      </c>
      <c r="C321" s="31" t="s">
        <v>1048</v>
      </c>
      <c r="D321" s="181" t="s">
        <v>1048</v>
      </c>
      <c r="E321" s="144" t="s">
        <v>3139</v>
      </c>
      <c r="F321" s="120" t="s">
        <v>2718</v>
      </c>
      <c r="G321" s="120" t="s">
        <v>300</v>
      </c>
      <c r="H321" s="43" t="str">
        <f t="shared" si="106"/>
        <v>Urban Harris</v>
      </c>
      <c r="I321" s="45">
        <f>INDEX(FeeCalc!M:M,MATCH(C:C,FeeCalc!F:F,0))</f>
        <v>1573408.9823616832</v>
      </c>
      <c r="J321" s="45">
        <f>INDEX(FeeCalc!L:L,MATCH(C:C,FeeCalc!F:F,0))</f>
        <v>3423264.0180122629</v>
      </c>
      <c r="K321" s="45">
        <f t="shared" si="107"/>
        <v>4996673.0003739465</v>
      </c>
      <c r="L321" s="45">
        <f>IFERROR(IFERROR(INDEX('2023 IP UPL Data'!N:N,MATCH(A:A,'2023 IP UPL Data'!B:B,0)),INDEX('2023 IMD UPL Data'!M:M,MATCH(A:A,'2023 IMD UPL Data'!B:B,0))),0)</f>
        <v>4987904.7341618501</v>
      </c>
      <c r="M321" s="45">
        <f>IFERROR((IF(F321="IMD",0,INDEX('2023 OP UPL Data'!M:M,MATCH(A:A,'2023 OP UPL Data'!B:B,0)))),0)</f>
        <v>2025542.9397109831</v>
      </c>
      <c r="N321" s="45">
        <f t="shared" si="108"/>
        <v>7013447.6738728331</v>
      </c>
      <c r="O321" s="45">
        <v>3796167.8582627368</v>
      </c>
      <c r="P321" s="45">
        <v>5417701.3129683677</v>
      </c>
      <c r="Q321" s="45">
        <f t="shared" si="109"/>
        <v>9213869.1712311041</v>
      </c>
      <c r="R321" s="45" t="str">
        <f t="shared" si="110"/>
        <v>Yes</v>
      </c>
      <c r="S321" s="46" t="str">
        <f t="shared" si="110"/>
        <v>Yes</v>
      </c>
      <c r="T321" s="47">
        <f>ROUND(INDEX(Summary!H:H,MATCH(H:H,Summary!A:A,0)),2)</f>
        <v>2.59</v>
      </c>
      <c r="U321" s="47">
        <f>ROUND(INDEX(Summary!I:I,MATCH(H:H,Summary!A:A,0)),2)</f>
        <v>0.85</v>
      </c>
      <c r="V321" s="85">
        <f t="shared" si="111"/>
        <v>4075129.2643167591</v>
      </c>
      <c r="W321" s="85">
        <f t="shared" si="111"/>
        <v>2909774.4153104234</v>
      </c>
      <c r="X321" s="45">
        <f t="shared" si="112"/>
        <v>6984903.679627182</v>
      </c>
      <c r="Y321" s="45" t="s">
        <v>3223</v>
      </c>
      <c r="Z321" s="45" t="str">
        <f t="shared" si="113"/>
        <v>No</v>
      </c>
      <c r="AA321" s="45" t="str">
        <f t="shared" si="113"/>
        <v>Yes</v>
      </c>
      <c r="AB321" s="45" t="str">
        <f t="shared" si="114"/>
        <v>Yes</v>
      </c>
      <c r="AC321" s="86">
        <f t="shared" si="127"/>
        <v>0</v>
      </c>
      <c r="AD321" s="86">
        <f t="shared" si="128"/>
        <v>0.51</v>
      </c>
      <c r="AE321" s="45">
        <f t="shared" si="129"/>
        <v>0</v>
      </c>
      <c r="AF321" s="45">
        <f t="shared" si="129"/>
        <v>1745864.649186254</v>
      </c>
      <c r="AG321" s="45">
        <f t="shared" si="115"/>
        <v>1745864.649186254</v>
      </c>
      <c r="AH321" s="47">
        <f>IF(Y321="No",0,IFERROR(ROUNDDOWN(INDEX('90% of ACR'!K:K,MATCH(H:H,'90% of ACR'!A:A,0))*IF(I321&gt;0,IF(O321&gt;0,$R$4*MAX(O321-V321,0),0),0)/I321,2),0))</f>
        <v>0</v>
      </c>
      <c r="AI321" s="86">
        <f>IF(Y321="No",0,IFERROR(ROUNDDOWN(INDEX('90% of ACR'!R:R,MATCH(H:H,'90% of ACR'!A:A,0))*IF(J321&gt;0,IF(P321&gt;0,$R$4*MAX(P321-W321,0),0),0)/J321,2),0))</f>
        <v>0.38</v>
      </c>
      <c r="AJ321" s="45">
        <f t="shared" si="116"/>
        <v>0</v>
      </c>
      <c r="AK321" s="45">
        <f t="shared" si="116"/>
        <v>1300840.3268446599</v>
      </c>
      <c r="AL321" s="47">
        <f t="shared" si="117"/>
        <v>2.59</v>
      </c>
      <c r="AM321" s="47">
        <f t="shared" si="117"/>
        <v>1.23</v>
      </c>
      <c r="AN321" s="87">
        <f>IFERROR(INDEX(FeeCalc!P:P,MATCH(C321,FeeCalc!F:F,0)),0)</f>
        <v>8285744.0064718425</v>
      </c>
      <c r="AO321" s="87">
        <f>IFERROR(INDEX(FeeCalc!S:S,MATCH(C321,FeeCalc!F:F,0)),0)</f>
        <v>511171.48964901955</v>
      </c>
      <c r="AP321" s="87">
        <f t="shared" si="118"/>
        <v>8796915.4961208627</v>
      </c>
      <c r="AQ321" s="72">
        <f t="shared" si="119"/>
        <v>3732812.7462999583</v>
      </c>
      <c r="AR321" s="72">
        <f t="shared" si="120"/>
        <v>1866406.3731499792</v>
      </c>
      <c r="AS321" s="72">
        <f t="shared" si="121"/>
        <v>1866406.3731499792</v>
      </c>
      <c r="AT321" s="72">
        <f>IFERROR(IFERROR(INDEX('2023 IP UPL Data'!L:L,MATCH(A:A,'2023 IP UPL Data'!B:B,0)),INDEX('2023 IMD UPL Data'!I:I,MATCH(A:A,'2023 IMD UPL Data'!B:B,0))),0)</f>
        <v>2228472.6358381505</v>
      </c>
      <c r="AU321" s="72">
        <f>IFERROR(IF(F319="IMD",0,INDEX('2023 OP UPL Data'!J:J,MATCH(A:A,'2023 OP UPL Data'!B:B,0))),0)</f>
        <v>2119985.1502890168</v>
      </c>
      <c r="AV321" s="45">
        <f t="shared" si="122"/>
        <v>4348457.7861271668</v>
      </c>
      <c r="AW321" s="72">
        <f>IFERROR(IFERROR(INDEX('2023 IP UPL Data'!M:M,MATCH(A:A,'2023 IP UPL Data'!B:B,0)),INDEX('2023 IMD UPL Data'!K:K,MATCH(A:A,'2023 IMD UPL Data'!B:B,0))),0)</f>
        <v>7216377.3700000001</v>
      </c>
      <c r="AX321" s="72">
        <f>IFERROR(IF(F319="IMD",0,INDEX('2023 OP UPL Data'!L:L,MATCH(A:A,'2023 OP UPL Data'!B:B,0))),0)</f>
        <v>4145528.09</v>
      </c>
      <c r="AY321" s="45">
        <f t="shared" si="123"/>
        <v>11361905.460000001</v>
      </c>
      <c r="AZ321" s="72">
        <v>6024640.4941008873</v>
      </c>
      <c r="BA321" s="72">
        <v>7537686.4632573845</v>
      </c>
      <c r="BB321" s="72">
        <f t="shared" si="124"/>
        <v>1949511.2297841283</v>
      </c>
      <c r="BC321" s="72">
        <f t="shared" si="124"/>
        <v>4627912.0479469616</v>
      </c>
      <c r="BD321" s="72">
        <f t="shared" si="125"/>
        <v>6577423.2777310889</v>
      </c>
      <c r="BE321" s="94">
        <f t="shared" si="126"/>
        <v>0</v>
      </c>
      <c r="BF321" s="94">
        <f t="shared" si="126"/>
        <v>3392158.3732573846</v>
      </c>
      <c r="BG321" s="73">
        <f>IFERROR(INDEX('2023 IP UPL Data'!K:K,MATCH(A321,'2023 IP UPL Data'!B:B,0)),0)</f>
        <v>0</v>
      </c>
    </row>
    <row r="322" spans="1:59">
      <c r="A322" s="124" t="s">
        <v>462</v>
      </c>
      <c r="B322" s="149" t="s">
        <v>462</v>
      </c>
      <c r="C322" s="31" t="s">
        <v>463</v>
      </c>
      <c r="D322" s="181" t="s">
        <v>463</v>
      </c>
      <c r="E322" s="144" t="s">
        <v>3561</v>
      </c>
      <c r="F322" s="120" t="s">
        <v>2718</v>
      </c>
      <c r="G322" s="120" t="s">
        <v>227</v>
      </c>
      <c r="H322" s="43" t="str">
        <f t="shared" si="106"/>
        <v>Urban MRSA West</v>
      </c>
      <c r="I322" s="45">
        <f>INDEX(FeeCalc!M:M,MATCH(C:C,FeeCalc!F:F,0))</f>
        <v>11405701.952870179</v>
      </c>
      <c r="J322" s="45">
        <f>INDEX(FeeCalc!L:L,MATCH(C:C,FeeCalc!F:F,0))</f>
        <v>5473957.4222739497</v>
      </c>
      <c r="K322" s="45">
        <f t="shared" si="107"/>
        <v>16879659.375144128</v>
      </c>
      <c r="L322" s="45">
        <f>IFERROR(IFERROR(INDEX('2023 IP UPL Data'!N:N,MATCH(A:A,'2023 IP UPL Data'!B:B,0)),INDEX('2023 IMD UPL Data'!M:M,MATCH(A:A,'2023 IMD UPL Data'!B:B,0))),0)</f>
        <v>6708638.9100000001</v>
      </c>
      <c r="M322" s="45">
        <f>IFERROR((IF(F322="IMD",0,INDEX('2023 OP UPL Data'!M:M,MATCH(A:A,'2023 OP UPL Data'!B:B,0)))),0)</f>
        <v>11943942.245714288</v>
      </c>
      <c r="N322" s="45">
        <f t="shared" si="108"/>
        <v>18652581.155714288</v>
      </c>
      <c r="O322" s="45">
        <v>25160992.215743951</v>
      </c>
      <c r="P322" s="45">
        <v>25049081.14599761</v>
      </c>
      <c r="Q322" s="45">
        <f t="shared" si="109"/>
        <v>50210073.361741558</v>
      </c>
      <c r="R322" s="45" t="str">
        <f t="shared" si="110"/>
        <v>Yes</v>
      </c>
      <c r="S322" s="46" t="str">
        <f t="shared" si="110"/>
        <v>Yes</v>
      </c>
      <c r="T322" s="47">
        <f>ROUND(INDEX(Summary!H:H,MATCH(H:H,Summary!A:A,0)),2)</f>
        <v>0.43</v>
      </c>
      <c r="U322" s="47">
        <f>ROUND(INDEX(Summary!I:I,MATCH(H:H,Summary!A:A,0)),2)</f>
        <v>1.18</v>
      </c>
      <c r="V322" s="85">
        <f t="shared" si="111"/>
        <v>4904451.8397341771</v>
      </c>
      <c r="W322" s="85">
        <f t="shared" si="111"/>
        <v>6459269.7582832603</v>
      </c>
      <c r="X322" s="45">
        <f t="shared" si="112"/>
        <v>11363721.598017437</v>
      </c>
      <c r="Y322" s="45" t="s">
        <v>3223</v>
      </c>
      <c r="Z322" s="45" t="str">
        <f t="shared" si="113"/>
        <v>Yes</v>
      </c>
      <c r="AA322" s="45" t="str">
        <f t="shared" si="113"/>
        <v>Yes</v>
      </c>
      <c r="AB322" s="45" t="str">
        <f t="shared" si="114"/>
        <v>Yes</v>
      </c>
      <c r="AC322" s="86">
        <f t="shared" si="127"/>
        <v>1.24</v>
      </c>
      <c r="AD322" s="86">
        <f t="shared" si="128"/>
        <v>2.37</v>
      </c>
      <c r="AE322" s="45">
        <f t="shared" si="129"/>
        <v>14143070.421559023</v>
      </c>
      <c r="AF322" s="45">
        <f t="shared" si="129"/>
        <v>12973279.090789262</v>
      </c>
      <c r="AG322" s="45">
        <f t="shared" si="115"/>
        <v>27116349.512348287</v>
      </c>
      <c r="AH322" s="47">
        <f>IF(Y322="No",0,IFERROR(ROUNDDOWN(INDEX('90% of ACR'!K:K,MATCH(H:H,'90% of ACR'!A:A,0))*IF(I322&gt;0,IF(O322&gt;0,$R$4*MAX(O322-V322,0),0),0)/I322,2),0))</f>
        <v>1.23</v>
      </c>
      <c r="AI322" s="86">
        <f>IF(Y322="No",0,IFERROR(ROUNDDOWN(INDEX('90% of ACR'!R:R,MATCH(H:H,'90% of ACR'!A:A,0))*IF(J322&gt;0,IF(P322&gt;0,$R$4*MAX(P322-W322,0),0),0)/J322,2),0))</f>
        <v>2.27</v>
      </c>
      <c r="AJ322" s="45">
        <f t="shared" si="116"/>
        <v>14029013.402030321</v>
      </c>
      <c r="AK322" s="45">
        <f t="shared" si="116"/>
        <v>12425883.348561866</v>
      </c>
      <c r="AL322" s="47">
        <f t="shared" si="117"/>
        <v>1.66</v>
      </c>
      <c r="AM322" s="47">
        <f t="shared" si="117"/>
        <v>3.45</v>
      </c>
      <c r="AN322" s="87">
        <f>IFERROR(INDEX(FeeCalc!P:P,MATCH(C322,FeeCalc!F:F,0)),0)</f>
        <v>37818618.348609626</v>
      </c>
      <c r="AO322" s="87">
        <f>IFERROR(INDEX(FeeCalc!S:S,MATCH(C322,FeeCalc!F:F,0)),0)</f>
        <v>2351210.9717617258</v>
      </c>
      <c r="AP322" s="87">
        <f t="shared" si="118"/>
        <v>40169829.320371352</v>
      </c>
      <c r="AQ322" s="72">
        <f t="shared" si="119"/>
        <v>17045344.015171818</v>
      </c>
      <c r="AR322" s="72">
        <f t="shared" si="120"/>
        <v>8522672.0075859092</v>
      </c>
      <c r="AS322" s="72">
        <f t="shared" si="121"/>
        <v>8522672.0075859092</v>
      </c>
      <c r="AT322" s="72">
        <f>IFERROR(IFERROR(INDEX('2023 IP UPL Data'!L:L,MATCH(A:A,'2023 IP UPL Data'!B:B,0)),INDEX('2023 IMD UPL Data'!I:I,MATCH(A:A,'2023 IMD UPL Data'!B:B,0))),0)</f>
        <v>9403234</v>
      </c>
      <c r="AU322" s="72">
        <f>IFERROR(IF(F320="IMD",0,INDEX('2023 OP UPL Data'!J:J,MATCH(A:A,'2023 OP UPL Data'!B:B,0))),0)</f>
        <v>2627448.7142857122</v>
      </c>
      <c r="AV322" s="45">
        <f t="shared" si="122"/>
        <v>12030682.714285713</v>
      </c>
      <c r="AW322" s="72">
        <f>IFERROR(IFERROR(INDEX('2023 IP UPL Data'!M:M,MATCH(A:A,'2023 IP UPL Data'!B:B,0)),INDEX('2023 IMD UPL Data'!K:K,MATCH(A:A,'2023 IMD UPL Data'!B:B,0))),0)</f>
        <v>16111872.91</v>
      </c>
      <c r="AX322" s="72">
        <f>IFERROR(IF(F320="IMD",0,INDEX('2023 OP UPL Data'!L:L,MATCH(A:A,'2023 OP UPL Data'!B:B,0))),0)</f>
        <v>14571390.960000001</v>
      </c>
      <c r="AY322" s="45">
        <f t="shared" si="123"/>
        <v>30683263.870000001</v>
      </c>
      <c r="AZ322" s="72">
        <v>34564226.215743951</v>
      </c>
      <c r="BA322" s="72">
        <v>27676529.860283323</v>
      </c>
      <c r="BB322" s="72">
        <f t="shared" si="124"/>
        <v>29659774.376009773</v>
      </c>
      <c r="BC322" s="72">
        <f t="shared" si="124"/>
        <v>21217260.102000061</v>
      </c>
      <c r="BD322" s="72">
        <f t="shared" si="125"/>
        <v>50877034.478009835</v>
      </c>
      <c r="BE322" s="94">
        <f t="shared" si="126"/>
        <v>18452353.305743951</v>
      </c>
      <c r="BF322" s="94">
        <f t="shared" si="126"/>
        <v>13105138.900283322</v>
      </c>
      <c r="BG322" s="73">
        <f>IFERROR(INDEX('2023 IP UPL Data'!K:K,MATCH(A322,'2023 IP UPL Data'!B:B,0)),0)</f>
        <v>0</v>
      </c>
    </row>
    <row r="323" spans="1:59">
      <c r="A323" s="124" t="s">
        <v>886</v>
      </c>
      <c r="B323" s="149" t="s">
        <v>886</v>
      </c>
      <c r="C323" s="31" t="s">
        <v>887</v>
      </c>
      <c r="D323" s="181" t="s">
        <v>887</v>
      </c>
      <c r="E323" s="144" t="s">
        <v>3381</v>
      </c>
      <c r="F323" s="120" t="s">
        <v>2718</v>
      </c>
      <c r="G323" s="120" t="s">
        <v>1489</v>
      </c>
      <c r="H323" s="43" t="str">
        <f t="shared" si="106"/>
        <v>Urban MRSA Central</v>
      </c>
      <c r="I323" s="45">
        <f>INDEX(FeeCalc!M:M,MATCH(C:C,FeeCalc!F:F,0))</f>
        <v>4479030.026239315</v>
      </c>
      <c r="J323" s="45">
        <f>INDEX(FeeCalc!L:L,MATCH(C:C,FeeCalc!F:F,0))</f>
        <v>3554345.1698944671</v>
      </c>
      <c r="K323" s="45">
        <f t="shared" si="107"/>
        <v>8033375.1961337822</v>
      </c>
      <c r="L323" s="45">
        <f>IFERROR(IFERROR(INDEX('2023 IP UPL Data'!N:N,MATCH(A:A,'2023 IP UPL Data'!B:B,0)),INDEX('2023 IMD UPL Data'!M:M,MATCH(A:A,'2023 IMD UPL Data'!B:B,0))),0)</f>
        <v>3378505.8323076908</v>
      </c>
      <c r="M323" s="45">
        <f>IFERROR((IF(F323="IMD",0,INDEX('2023 OP UPL Data'!M:M,MATCH(A:A,'2023 OP UPL Data'!B:B,0)))),0)</f>
        <v>4465679.9746745564</v>
      </c>
      <c r="N323" s="45">
        <f t="shared" si="108"/>
        <v>7844185.8069822472</v>
      </c>
      <c r="O323" s="45">
        <v>8780801.5131567232</v>
      </c>
      <c r="P323" s="45">
        <v>7083050.2699404471</v>
      </c>
      <c r="Q323" s="45">
        <f t="shared" si="109"/>
        <v>15863851.78309717</v>
      </c>
      <c r="R323" s="45" t="str">
        <f t="shared" si="110"/>
        <v>Yes</v>
      </c>
      <c r="S323" s="46" t="str">
        <f t="shared" si="110"/>
        <v>Yes</v>
      </c>
      <c r="T323" s="47">
        <f>ROUND(INDEX(Summary!H:H,MATCH(H:H,Summary!A:A,0)),2)</f>
        <v>0.78</v>
      </c>
      <c r="U323" s="47">
        <f>ROUND(INDEX(Summary!I:I,MATCH(H:H,Summary!A:A,0)),2)</f>
        <v>1.29</v>
      </c>
      <c r="V323" s="85">
        <f t="shared" si="111"/>
        <v>3493643.4204666656</v>
      </c>
      <c r="W323" s="85">
        <f t="shared" si="111"/>
        <v>4585105.2691638628</v>
      </c>
      <c r="X323" s="45">
        <f t="shared" si="112"/>
        <v>8078748.6896305289</v>
      </c>
      <c r="Y323" s="45" t="s">
        <v>3223</v>
      </c>
      <c r="Z323" s="45" t="str">
        <f t="shared" si="113"/>
        <v>Yes</v>
      </c>
      <c r="AA323" s="45" t="str">
        <f t="shared" si="113"/>
        <v>Yes</v>
      </c>
      <c r="AB323" s="45" t="str">
        <f t="shared" si="114"/>
        <v>Yes</v>
      </c>
      <c r="AC323" s="86">
        <f t="shared" si="127"/>
        <v>0.82</v>
      </c>
      <c r="AD323" s="86">
        <f t="shared" si="128"/>
        <v>0.49</v>
      </c>
      <c r="AE323" s="45">
        <f t="shared" si="129"/>
        <v>3672804.621516238</v>
      </c>
      <c r="AF323" s="45">
        <f t="shared" si="129"/>
        <v>1741629.1332482889</v>
      </c>
      <c r="AG323" s="45">
        <f t="shared" si="115"/>
        <v>5414433.7547645271</v>
      </c>
      <c r="AH323" s="47">
        <f>IF(Y323="No",0,IFERROR(ROUNDDOWN(INDEX('90% of ACR'!K:K,MATCH(H:H,'90% of ACR'!A:A,0))*IF(I323&gt;0,IF(O323&gt;0,$R$4*MAX(O323-V323,0),0),0)/I323,2),0))</f>
        <v>0.82</v>
      </c>
      <c r="AI323" s="86">
        <f>IF(Y323="No",0,IFERROR(ROUNDDOWN(INDEX('90% of ACR'!R:R,MATCH(H:H,'90% of ACR'!A:A,0))*IF(J323&gt;0,IF(P323&gt;0,$R$4*MAX(P323-W323,0),0),0)/J323,2),0))</f>
        <v>0.02</v>
      </c>
      <c r="AJ323" s="45">
        <f t="shared" si="116"/>
        <v>3672804.621516238</v>
      </c>
      <c r="AK323" s="45">
        <f t="shared" si="116"/>
        <v>71086.903397889342</v>
      </c>
      <c r="AL323" s="47">
        <f t="shared" si="117"/>
        <v>1.6</v>
      </c>
      <c r="AM323" s="47">
        <f t="shared" si="117"/>
        <v>1.31</v>
      </c>
      <c r="AN323" s="87">
        <f>IFERROR(INDEX(FeeCalc!P:P,MATCH(C323,FeeCalc!F:F,0)),0)</f>
        <v>11822640.214544656</v>
      </c>
      <c r="AO323" s="87">
        <f>IFERROR(INDEX(FeeCalc!S:S,MATCH(C323,FeeCalc!F:F,0)),0)</f>
        <v>730636.48862285609</v>
      </c>
      <c r="AP323" s="87">
        <f t="shared" si="118"/>
        <v>12553276.703167511</v>
      </c>
      <c r="AQ323" s="72">
        <f t="shared" si="119"/>
        <v>5326757.0100084767</v>
      </c>
      <c r="AR323" s="72">
        <f t="shared" si="120"/>
        <v>2663378.5050042383</v>
      </c>
      <c r="AS323" s="72">
        <f t="shared" si="121"/>
        <v>2663378.5050042383</v>
      </c>
      <c r="AT323" s="72">
        <f>IFERROR(IFERROR(INDEX('2023 IP UPL Data'!L:L,MATCH(A:A,'2023 IP UPL Data'!B:B,0)),INDEX('2023 IMD UPL Data'!I:I,MATCH(A:A,'2023 IMD UPL Data'!B:B,0))),0)</f>
        <v>4764900.3076923089</v>
      </c>
      <c r="AU323" s="72">
        <f>IFERROR(IF(F321="IMD",0,INDEX('2023 OP UPL Data'!J:J,MATCH(A:A,'2023 OP UPL Data'!B:B,0))),0)</f>
        <v>1681269.9053254439</v>
      </c>
      <c r="AV323" s="45">
        <f t="shared" si="122"/>
        <v>6446170.2130177524</v>
      </c>
      <c r="AW323" s="72">
        <f>IFERROR(IFERROR(INDEX('2023 IP UPL Data'!M:M,MATCH(A:A,'2023 IP UPL Data'!B:B,0)),INDEX('2023 IMD UPL Data'!K:K,MATCH(A:A,'2023 IMD UPL Data'!B:B,0))),0)</f>
        <v>8143406.1399999997</v>
      </c>
      <c r="AX323" s="72">
        <f>IFERROR(IF(F321="IMD",0,INDEX('2023 OP UPL Data'!L:L,MATCH(A:A,'2023 OP UPL Data'!B:B,0))),0)</f>
        <v>6146949.8799999999</v>
      </c>
      <c r="AY323" s="45">
        <f t="shared" si="123"/>
        <v>14290356.02</v>
      </c>
      <c r="AZ323" s="72">
        <v>13545701.820849033</v>
      </c>
      <c r="BA323" s="72">
        <v>8764320.1752658915</v>
      </c>
      <c r="BB323" s="72">
        <f t="shared" si="124"/>
        <v>10052058.400382368</v>
      </c>
      <c r="BC323" s="72">
        <f t="shared" si="124"/>
        <v>4179214.9061020287</v>
      </c>
      <c r="BD323" s="72">
        <f t="shared" si="125"/>
        <v>14231273.306484396</v>
      </c>
      <c r="BE323" s="94">
        <f t="shared" si="126"/>
        <v>5402295.6808490334</v>
      </c>
      <c r="BF323" s="94">
        <f t="shared" si="126"/>
        <v>2617370.2952658916</v>
      </c>
      <c r="BG323" s="73">
        <f>IFERROR(INDEX('2023 IP UPL Data'!K:K,MATCH(A323,'2023 IP UPL Data'!B:B,0)),0)</f>
        <v>0</v>
      </c>
    </row>
    <row r="324" spans="1:59">
      <c r="A324" s="124" t="s">
        <v>279</v>
      </c>
      <c r="B324" s="149" t="s">
        <v>279</v>
      </c>
      <c r="C324" s="31" t="s">
        <v>280</v>
      </c>
      <c r="D324" s="181" t="s">
        <v>280</v>
      </c>
      <c r="E324" s="144" t="s">
        <v>3382</v>
      </c>
      <c r="F324" s="120" t="s">
        <v>2768</v>
      </c>
      <c r="G324" s="120" t="s">
        <v>1489</v>
      </c>
      <c r="H324" s="43" t="str">
        <f t="shared" si="106"/>
        <v>Rural MRSA Central</v>
      </c>
      <c r="I324" s="45">
        <f>INDEX(FeeCalc!M:M,MATCH(C:C,FeeCalc!F:F,0))</f>
        <v>403050.20831406338</v>
      </c>
      <c r="J324" s="45">
        <f>INDEX(FeeCalc!L:L,MATCH(C:C,FeeCalc!F:F,0))</f>
        <v>844857.9880028998</v>
      </c>
      <c r="K324" s="45">
        <f t="shared" si="107"/>
        <v>1247908.1963169631</v>
      </c>
      <c r="L324" s="45">
        <f>IFERROR(IFERROR(INDEX('2023 IP UPL Data'!N:N,MATCH(A:A,'2023 IP UPL Data'!B:B,0)),INDEX('2023 IMD UPL Data'!M:M,MATCH(A:A,'2023 IMD UPL Data'!B:B,0))),0)</f>
        <v>-78456.703210504435</v>
      </c>
      <c r="M324" s="45">
        <f>IFERROR((IF(F324="IMD",0,INDEX('2023 OP UPL Data'!M:M,MATCH(A:A,'2023 OP UPL Data'!B:B,0)))),0)</f>
        <v>-61738.713311258238</v>
      </c>
      <c r="N324" s="45">
        <f t="shared" si="108"/>
        <v>-140195.41652176267</v>
      </c>
      <c r="O324" s="45">
        <v>-11711.852411603497</v>
      </c>
      <c r="P324" s="45">
        <v>525817.26475550351</v>
      </c>
      <c r="Q324" s="45">
        <f t="shared" si="109"/>
        <v>514105.41234390001</v>
      </c>
      <c r="R324" s="45" t="str">
        <f t="shared" si="110"/>
        <v>No</v>
      </c>
      <c r="S324" s="46" t="str">
        <f t="shared" si="110"/>
        <v>Yes</v>
      </c>
      <c r="T324" s="47">
        <f>ROUND(INDEX(Summary!H:H,MATCH(H:H,Summary!A:A,0)),2)</f>
        <v>0</v>
      </c>
      <c r="U324" s="47">
        <f>ROUND(INDEX(Summary!I:I,MATCH(H:H,Summary!A:A,0)),2)</f>
        <v>0.17</v>
      </c>
      <c r="V324" s="85">
        <f t="shared" si="111"/>
        <v>0</v>
      </c>
      <c r="W324" s="85">
        <f t="shared" si="111"/>
        <v>143625.85796049298</v>
      </c>
      <c r="X324" s="45">
        <f t="shared" si="112"/>
        <v>143625.85796049298</v>
      </c>
      <c r="Y324" s="45" t="s">
        <v>3223</v>
      </c>
      <c r="Z324" s="45" t="str">
        <f t="shared" si="113"/>
        <v>No</v>
      </c>
      <c r="AA324" s="45" t="str">
        <f t="shared" si="113"/>
        <v>Yes</v>
      </c>
      <c r="AB324" s="45" t="str">
        <f t="shared" si="114"/>
        <v>Yes</v>
      </c>
      <c r="AC324" s="86">
        <f t="shared" si="127"/>
        <v>0</v>
      </c>
      <c r="AD324" s="86">
        <f t="shared" si="128"/>
        <v>0.32</v>
      </c>
      <c r="AE324" s="45">
        <f t="shared" si="129"/>
        <v>0</v>
      </c>
      <c r="AF324" s="45">
        <f t="shared" si="129"/>
        <v>270354.55616092792</v>
      </c>
      <c r="AG324" s="45">
        <f t="shared" si="115"/>
        <v>270354.55616092792</v>
      </c>
      <c r="AH324" s="47">
        <f>IF(Y324="No",0,IFERROR(ROUNDDOWN(INDEX('90% of ACR'!K:K,MATCH(H:H,'90% of ACR'!A:A,0))*IF(I324&gt;0,IF(O324&gt;0,$R$4*MAX(O324-V324,0),0),0)/I324,2),0))</f>
        <v>0</v>
      </c>
      <c r="AI324" s="86">
        <f>IF(Y324="No",0,IFERROR(ROUNDDOWN(INDEX('90% of ACR'!R:R,MATCH(H:H,'90% of ACR'!A:A,0))*IF(J324&gt;0,IF(P324&gt;0,$R$4*MAX(P324-W324,0),0),0)/J324,2),0))</f>
        <v>0.31</v>
      </c>
      <c r="AJ324" s="45">
        <f t="shared" si="116"/>
        <v>0</v>
      </c>
      <c r="AK324" s="45">
        <f t="shared" si="116"/>
        <v>261905.97628089893</v>
      </c>
      <c r="AL324" s="47">
        <f t="shared" si="117"/>
        <v>0</v>
      </c>
      <c r="AM324" s="47">
        <f t="shared" si="117"/>
        <v>0.48</v>
      </c>
      <c r="AN324" s="87">
        <f>IFERROR(INDEX(FeeCalc!P:P,MATCH(C324,FeeCalc!F:F,0)),0)</f>
        <v>405531.83424139192</v>
      </c>
      <c r="AO324" s="87">
        <f>IFERROR(INDEX(FeeCalc!S:S,MATCH(C324,FeeCalc!F:F,0)),0)</f>
        <v>24950.62095712735</v>
      </c>
      <c r="AP324" s="87">
        <f t="shared" si="118"/>
        <v>430482.45519851928</v>
      </c>
      <c r="AQ324" s="72">
        <f t="shared" si="119"/>
        <v>182667.48117929811</v>
      </c>
      <c r="AR324" s="72">
        <f t="shared" si="120"/>
        <v>91333.740589649053</v>
      </c>
      <c r="AS324" s="72">
        <f t="shared" si="121"/>
        <v>91333.740589649053</v>
      </c>
      <c r="AT324" s="72">
        <f>IFERROR(IFERROR(INDEX('2023 IP UPL Data'!L:L,MATCH(A:A,'2023 IP UPL Data'!B:B,0)),INDEX('2023 IMD UPL Data'!I:I,MATCH(A:A,'2023 IMD UPL Data'!B:B,0))),0)</f>
        <v>195096.61321050444</v>
      </c>
      <c r="AU324" s="72">
        <f>IFERROR(IF(F322="IMD",0,INDEX('2023 OP UPL Data'!J:J,MATCH(A:A,'2023 OP UPL Data'!B:B,0))),0)</f>
        <v>293863.78331125824</v>
      </c>
      <c r="AV324" s="45">
        <f t="shared" si="122"/>
        <v>488960.39652176271</v>
      </c>
      <c r="AW324" s="72">
        <f>IFERROR(IFERROR(INDEX('2023 IP UPL Data'!M:M,MATCH(A:A,'2023 IP UPL Data'!B:B,0)),INDEX('2023 IMD UPL Data'!K:K,MATCH(A:A,'2023 IMD UPL Data'!B:B,0))),0)</f>
        <v>116639.91</v>
      </c>
      <c r="AX324" s="72">
        <f>IFERROR(IF(F322="IMD",0,INDEX('2023 OP UPL Data'!L:L,MATCH(A:A,'2023 OP UPL Data'!B:B,0))),0)</f>
        <v>232125.07</v>
      </c>
      <c r="AY324" s="45">
        <f t="shared" si="123"/>
        <v>348764.98</v>
      </c>
      <c r="AZ324" s="72">
        <v>183384.76079890094</v>
      </c>
      <c r="BA324" s="72">
        <v>819681.04806676181</v>
      </c>
      <c r="BB324" s="72">
        <f t="shared" si="124"/>
        <v>183384.76079890094</v>
      </c>
      <c r="BC324" s="72">
        <f t="shared" si="124"/>
        <v>676055.19010626886</v>
      </c>
      <c r="BD324" s="72">
        <f t="shared" si="125"/>
        <v>859439.95090516983</v>
      </c>
      <c r="BE324" s="94">
        <f t="shared" si="126"/>
        <v>66744.850798900938</v>
      </c>
      <c r="BF324" s="94">
        <f t="shared" si="126"/>
        <v>587555.97806676175</v>
      </c>
      <c r="BG324" s="73">
        <f>IFERROR(INDEX('2023 IP UPL Data'!K:K,MATCH(A324,'2023 IP UPL Data'!B:B,0)),0)</f>
        <v>0</v>
      </c>
    </row>
    <row r="325" spans="1:59">
      <c r="A325" s="124" t="s">
        <v>1110</v>
      </c>
      <c r="B325" s="149" t="s">
        <v>1110</v>
      </c>
      <c r="C325" s="31" t="s">
        <v>1111</v>
      </c>
      <c r="D325" s="181" t="s">
        <v>1111</v>
      </c>
      <c r="E325" s="144" t="s">
        <v>3099</v>
      </c>
      <c r="F325" s="120" t="s">
        <v>2718</v>
      </c>
      <c r="G325" s="120" t="s">
        <v>1366</v>
      </c>
      <c r="H325" s="43" t="str">
        <f t="shared" si="106"/>
        <v>Urban Tarrant</v>
      </c>
      <c r="I325" s="45">
        <f>INDEX(FeeCalc!M:M,MATCH(C:C,FeeCalc!F:F,0))</f>
        <v>4724780.8816692363</v>
      </c>
      <c r="J325" s="45">
        <f>INDEX(FeeCalc!L:L,MATCH(C:C,FeeCalc!F:F,0))</f>
        <v>3377807.0425246884</v>
      </c>
      <c r="K325" s="45">
        <f t="shared" si="107"/>
        <v>8102587.9241939243</v>
      </c>
      <c r="L325" s="45">
        <f>IFERROR(IFERROR(INDEX('2023 IP UPL Data'!N:N,MATCH(A:A,'2023 IP UPL Data'!B:B,0)),INDEX('2023 IMD UPL Data'!M:M,MATCH(A:A,'2023 IMD UPL Data'!B:B,0))),0)</f>
        <v>4917711.5975000011</v>
      </c>
      <c r="M325" s="45">
        <f>IFERROR((IF(F325="IMD",0,INDEX('2023 OP UPL Data'!M:M,MATCH(A:A,'2023 OP UPL Data'!B:B,0)))),0)</f>
        <v>3162171.9024999999</v>
      </c>
      <c r="N325" s="45">
        <f t="shared" si="108"/>
        <v>8079883.5000000009</v>
      </c>
      <c r="O325" s="45">
        <v>18612582.4672154</v>
      </c>
      <c r="P325" s="45">
        <v>6256783.0806442127</v>
      </c>
      <c r="Q325" s="45">
        <f t="shared" si="109"/>
        <v>24869365.547859613</v>
      </c>
      <c r="R325" s="45" t="str">
        <f t="shared" si="110"/>
        <v>Yes</v>
      </c>
      <c r="S325" s="46" t="str">
        <f t="shared" si="110"/>
        <v>Yes</v>
      </c>
      <c r="T325" s="47">
        <f>ROUND(INDEX(Summary!H:H,MATCH(H:H,Summary!A:A,0)),2)</f>
        <v>1.68</v>
      </c>
      <c r="U325" s="47">
        <f>ROUND(INDEX(Summary!I:I,MATCH(H:H,Summary!A:A,0)),2)</f>
        <v>1.42</v>
      </c>
      <c r="V325" s="85">
        <f t="shared" si="111"/>
        <v>7937631.8812043164</v>
      </c>
      <c r="W325" s="85">
        <f t="shared" si="111"/>
        <v>4796486.0003850572</v>
      </c>
      <c r="X325" s="45">
        <f t="shared" si="112"/>
        <v>12734117.881589374</v>
      </c>
      <c r="Y325" s="45" t="s">
        <v>3223</v>
      </c>
      <c r="Z325" s="45" t="str">
        <f t="shared" si="113"/>
        <v>Yes</v>
      </c>
      <c r="AA325" s="45" t="str">
        <f t="shared" si="113"/>
        <v>Yes</v>
      </c>
      <c r="AB325" s="45" t="str">
        <f t="shared" si="114"/>
        <v>Yes</v>
      </c>
      <c r="AC325" s="86">
        <f t="shared" si="127"/>
        <v>1.57</v>
      </c>
      <c r="AD325" s="86">
        <f t="shared" si="128"/>
        <v>0.3</v>
      </c>
      <c r="AE325" s="45">
        <f t="shared" si="129"/>
        <v>7417905.9842207013</v>
      </c>
      <c r="AF325" s="45">
        <f t="shared" si="129"/>
        <v>1013342.1127574064</v>
      </c>
      <c r="AG325" s="45">
        <f t="shared" si="115"/>
        <v>8431248.0969781075</v>
      </c>
      <c r="AH325" s="47">
        <f>IF(Y325="No",0,IFERROR(ROUNDDOWN(INDEX('90% of ACR'!K:K,MATCH(H:H,'90% of ACR'!A:A,0))*IF(I325&gt;0,IF(O325&gt;0,$R$4*MAX(O325-V325,0),0),0)/I325,2),0))</f>
        <v>1.57</v>
      </c>
      <c r="AI325" s="86">
        <f>IF(Y325="No",0,IFERROR(ROUNDDOWN(INDEX('90% of ACR'!R:R,MATCH(H:H,'90% of ACR'!A:A,0))*IF(J325&gt;0,IF(P325&gt;0,$R$4*MAX(P325-W325,0),0),0)/J325,2),0))</f>
        <v>0.24</v>
      </c>
      <c r="AJ325" s="45">
        <f t="shared" si="116"/>
        <v>7417905.9842207013</v>
      </c>
      <c r="AK325" s="45">
        <f t="shared" si="116"/>
        <v>810673.69020592514</v>
      </c>
      <c r="AL325" s="47">
        <f t="shared" si="117"/>
        <v>3.25</v>
      </c>
      <c r="AM325" s="47">
        <f t="shared" si="117"/>
        <v>1.66</v>
      </c>
      <c r="AN325" s="87">
        <f>IFERROR(INDEX(FeeCalc!P:P,MATCH(C325,FeeCalc!F:F,0)),0)</f>
        <v>20962697.556016002</v>
      </c>
      <c r="AO325" s="87">
        <f>IFERROR(INDEX(FeeCalc!S:S,MATCH(C325,FeeCalc!F:F,0)),0)</f>
        <v>1302935.0903066485</v>
      </c>
      <c r="AP325" s="87">
        <f t="shared" si="118"/>
        <v>22265632.646322649</v>
      </c>
      <c r="AQ325" s="72">
        <f t="shared" si="119"/>
        <v>9448020.4320793841</v>
      </c>
      <c r="AR325" s="72">
        <f t="shared" si="120"/>
        <v>4724010.2160396921</v>
      </c>
      <c r="AS325" s="72">
        <f t="shared" si="121"/>
        <v>4724010.2160396921</v>
      </c>
      <c r="AT325" s="72">
        <f>IFERROR(IFERROR(INDEX('2023 IP UPL Data'!L:L,MATCH(A:A,'2023 IP UPL Data'!B:B,0)),INDEX('2023 IMD UPL Data'!I:I,MATCH(A:A,'2023 IMD UPL Data'!B:B,0))),0)</f>
        <v>4903879.6124999998</v>
      </c>
      <c r="AU325" s="72">
        <f>IFERROR(IF(F323="IMD",0,INDEX('2023 OP UPL Data'!J:J,MATCH(A:A,'2023 OP UPL Data'!B:B,0))),0)</f>
        <v>1933968.4874999998</v>
      </c>
      <c r="AV325" s="45">
        <f t="shared" si="122"/>
        <v>6837848.0999999996</v>
      </c>
      <c r="AW325" s="72">
        <f>IFERROR(IFERROR(INDEX('2023 IP UPL Data'!M:M,MATCH(A:A,'2023 IP UPL Data'!B:B,0)),INDEX('2023 IMD UPL Data'!K:K,MATCH(A:A,'2023 IMD UPL Data'!B:B,0))),0)</f>
        <v>9821591.2100000009</v>
      </c>
      <c r="AX325" s="72">
        <f>IFERROR(IF(F323="IMD",0,INDEX('2023 OP UPL Data'!L:L,MATCH(A:A,'2023 OP UPL Data'!B:B,0))),0)</f>
        <v>5096140.3899999997</v>
      </c>
      <c r="AY325" s="45">
        <f t="shared" si="123"/>
        <v>14917731.600000001</v>
      </c>
      <c r="AZ325" s="72">
        <v>23516462.079715401</v>
      </c>
      <c r="BA325" s="72">
        <v>8190751.5681442125</v>
      </c>
      <c r="BB325" s="72">
        <f t="shared" si="124"/>
        <v>15578830.198511085</v>
      </c>
      <c r="BC325" s="72">
        <f t="shared" si="124"/>
        <v>3394265.5677591553</v>
      </c>
      <c r="BD325" s="72">
        <f t="shared" si="125"/>
        <v>18973095.766270243</v>
      </c>
      <c r="BE325" s="94">
        <f t="shared" si="126"/>
        <v>13694870.8697154</v>
      </c>
      <c r="BF325" s="94">
        <f t="shared" si="126"/>
        <v>3094611.1781442128</v>
      </c>
      <c r="BG325" s="73">
        <f>IFERROR(INDEX('2023 IP UPL Data'!K:K,MATCH(A325,'2023 IP UPL Data'!B:B,0)),0)</f>
        <v>0</v>
      </c>
    </row>
    <row r="326" spans="1:59">
      <c r="A326" s="124" t="s">
        <v>3606</v>
      </c>
      <c r="B326" s="149" t="s">
        <v>3606</v>
      </c>
      <c r="C326" s="31" t="s">
        <v>3591</v>
      </c>
      <c r="D326" s="181" t="s">
        <v>3591</v>
      </c>
      <c r="E326" s="144" t="s">
        <v>3562</v>
      </c>
      <c r="F326" s="120" t="s">
        <v>2718</v>
      </c>
      <c r="G326" s="120" t="s">
        <v>1366</v>
      </c>
      <c r="H326" s="43" t="str">
        <f t="shared" ref="H326:H389" si="130">CONCATENATE(F326," ",G326)</f>
        <v>Urban Tarrant</v>
      </c>
      <c r="I326" s="45">
        <f>INDEX(FeeCalc!M:M,MATCH(C:C,FeeCalc!F:F,0))</f>
        <v>354881.27783087897</v>
      </c>
      <c r="J326" s="45">
        <f>INDEX(FeeCalc!L:L,MATCH(C:C,FeeCalc!F:F,0))</f>
        <v>535495.85172944586</v>
      </c>
      <c r="K326" s="45">
        <f t="shared" ref="K326:K389" si="131">I326+J326</f>
        <v>890377.12956032483</v>
      </c>
      <c r="L326" s="45">
        <f>IFERROR(IFERROR(INDEX('2023 IP UPL Data'!N:N,MATCH(A:A,'2023 IP UPL Data'!B:B,0)),INDEX('2023 IMD UPL Data'!M:M,MATCH(A:A,'2023 IMD UPL Data'!B:B,0))),0)</f>
        <v>22432.5</v>
      </c>
      <c r="M326" s="45">
        <f>IFERROR((IF(F326="IMD",0,INDEX('2023 OP UPL Data'!M:M,MATCH(A:A,'2023 OP UPL Data'!B:B,0)))),0)</f>
        <v>-2733.3500000000058</v>
      </c>
      <c r="N326" s="45">
        <f t="shared" ref="N326:N389" si="132">+L326+M326</f>
        <v>19699.149999999994</v>
      </c>
      <c r="O326" s="45">
        <v>49958.527982598942</v>
      </c>
      <c r="P326" s="45">
        <v>96590.368743581334</v>
      </c>
      <c r="Q326" s="45">
        <f t="shared" ref="Q326:Q389" si="133">O326+P326</f>
        <v>146548.89672618028</v>
      </c>
      <c r="R326" s="45" t="str">
        <f t="shared" ref="R326:S389" si="134">IF(O326&gt;0,"Yes","No")</f>
        <v>Yes</v>
      </c>
      <c r="S326" s="46" t="str">
        <f t="shared" si="134"/>
        <v>Yes</v>
      </c>
      <c r="T326" s="47">
        <f>ROUND(INDEX(Summary!H:H,MATCH(H:H,Summary!A:A,0)),2)</f>
        <v>1.68</v>
      </c>
      <c r="U326" s="47">
        <f>ROUND(INDEX(Summary!I:I,MATCH(H:H,Summary!A:A,0)),2)</f>
        <v>1.42</v>
      </c>
      <c r="V326" s="85">
        <f t="shared" ref="V326:W389" si="135">+T326*I326</f>
        <v>596200.54675587662</v>
      </c>
      <c r="W326" s="85">
        <f t="shared" si="135"/>
        <v>760404.10945581307</v>
      </c>
      <c r="X326" s="45">
        <f t="shared" ref="X326:X389" si="136">+V326+W326</f>
        <v>1356604.6562116896</v>
      </c>
      <c r="Y326" s="45" t="s">
        <v>3223</v>
      </c>
      <c r="Z326" s="45" t="str">
        <f t="shared" ref="Z326:AA389" si="137">IF(AJ326&gt;0,"Yes","No")</f>
        <v>No</v>
      </c>
      <c r="AA326" s="45" t="str">
        <f t="shared" si="137"/>
        <v>No</v>
      </c>
      <c r="AB326" s="45" t="str">
        <f t="shared" ref="AB326:AB389" si="138">IF(AG326&gt;0,"Yes","No")</f>
        <v>No</v>
      </c>
      <c r="AC326" s="86">
        <f t="shared" si="127"/>
        <v>0</v>
      </c>
      <c r="AD326" s="86">
        <f t="shared" si="128"/>
        <v>0</v>
      </c>
      <c r="AE326" s="45">
        <f t="shared" si="129"/>
        <v>0</v>
      </c>
      <c r="AF326" s="45">
        <f t="shared" si="129"/>
        <v>0</v>
      </c>
      <c r="AG326" s="45">
        <f t="shared" ref="AG326:AG389" si="139">AE326+AF326</f>
        <v>0</v>
      </c>
      <c r="AH326" s="47">
        <f>IF(Y326="No",0,IFERROR(ROUNDDOWN(INDEX('90% of ACR'!K:K,MATCH(H:H,'90% of ACR'!A:A,0))*IF(I326&gt;0,IF(O326&gt;0,$R$4*MAX(O326-V326,0),0),0)/I326,2),0))</f>
        <v>0</v>
      </c>
      <c r="AI326" s="86">
        <f>IF(Y326="No",0,IFERROR(ROUNDDOWN(INDEX('90% of ACR'!R:R,MATCH(H:H,'90% of ACR'!A:A,0))*IF(J326&gt;0,IF(P326&gt;0,$R$4*MAX(P326-W326,0),0),0)/J326,2),0))</f>
        <v>0</v>
      </c>
      <c r="AJ326" s="45">
        <f t="shared" ref="AJ326:AK389" si="140">I326*AH326</f>
        <v>0</v>
      </c>
      <c r="AK326" s="45">
        <f t="shared" si="140"/>
        <v>0</v>
      </c>
      <c r="AL326" s="47">
        <f t="shared" ref="AL326:AM389" si="141">T326+AH326</f>
        <v>1.68</v>
      </c>
      <c r="AM326" s="47">
        <f t="shared" si="141"/>
        <v>1.42</v>
      </c>
      <c r="AN326" s="87">
        <f>IFERROR(INDEX(FeeCalc!P:P,MATCH(C326,FeeCalc!F:F,0)),0)</f>
        <v>1356604.6562116896</v>
      </c>
      <c r="AO326" s="87">
        <f>IFERROR(INDEX(FeeCalc!S:S,MATCH(C326,FeeCalc!F:F,0)),0)</f>
        <v>84023.009799338601</v>
      </c>
      <c r="AP326" s="87">
        <f t="shared" ref="AP326:AP389" si="142">AN326+AO326</f>
        <v>1440627.6660110282</v>
      </c>
      <c r="AQ326" s="72">
        <f t="shared" ref="AQ326:AQ389" si="143">$AQ$3*AP326*1.08</f>
        <v>611304.41877379164</v>
      </c>
      <c r="AR326" s="72">
        <f t="shared" ref="AR326:AR389" si="144">AQ326*0.5</f>
        <v>305652.20938689582</v>
      </c>
      <c r="AS326" s="72">
        <f t="shared" ref="AS326:AS389" si="145">AR326</f>
        <v>305652.20938689582</v>
      </c>
      <c r="AT326" s="72">
        <f>IFERROR(IFERROR(INDEX('2023 IP UPL Data'!L:L,MATCH(A:A,'2023 IP UPL Data'!B:B,0)),INDEX('2023 IMD UPL Data'!I:I,MATCH(A:A,'2023 IMD UPL Data'!B:B,0))),0)</f>
        <v>0.01</v>
      </c>
      <c r="AU326" s="72">
        <f>IFERROR(IF(F324="IMD",0,INDEX('2023 OP UPL Data'!J:J,MATCH(A:A,'2023 OP UPL Data'!B:B,0))),0)</f>
        <v>99478.58</v>
      </c>
      <c r="AV326" s="45">
        <f t="shared" ref="AV326:AV389" si="146">AT326+AU326</f>
        <v>99478.59</v>
      </c>
      <c r="AW326" s="72">
        <f>IFERROR(IFERROR(INDEX('2023 IP UPL Data'!M:M,MATCH(A:A,'2023 IP UPL Data'!B:B,0)),INDEX('2023 IMD UPL Data'!K:K,MATCH(A:A,'2023 IMD UPL Data'!B:B,0))),0)</f>
        <v>22432.51</v>
      </c>
      <c r="AX326" s="72">
        <f>IFERROR(IF(F324="IMD",0,INDEX('2023 OP UPL Data'!L:L,MATCH(A:A,'2023 OP UPL Data'!B:B,0))),0)</f>
        <v>96745.23</v>
      </c>
      <c r="AY326" s="45">
        <f t="shared" ref="AY326:AY389" si="147">AW326+AX326</f>
        <v>119177.73999999999</v>
      </c>
      <c r="AZ326" s="72">
        <v>49958.537982598944</v>
      </c>
      <c r="BA326" s="72">
        <v>196068.94874358134</v>
      </c>
      <c r="BB326" s="72">
        <f t="shared" ref="BB326:BC389" si="148">IF(AZ326&gt;V326,AZ326-V326,0)</f>
        <v>0</v>
      </c>
      <c r="BC326" s="72">
        <f t="shared" si="148"/>
        <v>0</v>
      </c>
      <c r="BD326" s="72">
        <f t="shared" ref="BD326:BD389" si="149">IF(AZ326+BA326&gt;X326,AZ326+BA326-X326,0)</f>
        <v>0</v>
      </c>
      <c r="BE326" s="94">
        <f t="shared" ref="BE326:BF389" si="150">IF(AZ326&gt;AW326,AZ326-AW326,0)</f>
        <v>27526.027982598946</v>
      </c>
      <c r="BF326" s="94">
        <f t="shared" si="150"/>
        <v>99323.718743581339</v>
      </c>
      <c r="BG326" s="73">
        <f>IFERROR(INDEX('2023 IP UPL Data'!K:K,MATCH(A326,'2023 IP UPL Data'!B:B,0)),0)</f>
        <v>0</v>
      </c>
    </row>
    <row r="327" spans="1:59">
      <c r="A327" s="124" t="s">
        <v>831</v>
      </c>
      <c r="B327" s="149" t="s">
        <v>831</v>
      </c>
      <c r="C327" s="31" t="s">
        <v>832</v>
      </c>
      <c r="D327" s="181" t="s">
        <v>832</v>
      </c>
      <c r="E327" s="144" t="s">
        <v>3151</v>
      </c>
      <c r="F327" s="120" t="s">
        <v>2768</v>
      </c>
      <c r="G327" s="120" t="s">
        <v>487</v>
      </c>
      <c r="H327" s="43" t="str">
        <f t="shared" si="130"/>
        <v>Rural Bexar</v>
      </c>
      <c r="I327" s="45">
        <f>INDEX(FeeCalc!M:M,MATCH(C:C,FeeCalc!F:F,0))</f>
        <v>427152.86896388099</v>
      </c>
      <c r="J327" s="45">
        <f>INDEX(FeeCalc!L:L,MATCH(C:C,FeeCalc!F:F,0))</f>
        <v>2328623.445576536</v>
      </c>
      <c r="K327" s="45">
        <f t="shared" si="131"/>
        <v>2755776.3145404169</v>
      </c>
      <c r="L327" s="45">
        <f>IFERROR(IFERROR(INDEX('2023 IP UPL Data'!N:N,MATCH(A:A,'2023 IP UPL Data'!B:B,0)),INDEX('2023 IMD UPL Data'!M:M,MATCH(A:A,'2023 IMD UPL Data'!B:B,0))),0)</f>
        <v>257413.41195279401</v>
      </c>
      <c r="M327" s="45">
        <f>IFERROR((IF(F327="IMD",0,INDEX('2023 OP UPL Data'!M:M,MATCH(A:A,'2023 OP UPL Data'!B:B,0)))),0)</f>
        <v>-403993.31171428575</v>
      </c>
      <c r="N327" s="45">
        <f t="shared" si="132"/>
        <v>-146579.89976149175</v>
      </c>
      <c r="O327" s="45">
        <v>431904.46737763559</v>
      </c>
      <c r="P327" s="45">
        <v>800545.60323091946</v>
      </c>
      <c r="Q327" s="45">
        <f t="shared" si="133"/>
        <v>1232450.0706085551</v>
      </c>
      <c r="R327" s="45" t="str">
        <f t="shared" si="134"/>
        <v>Yes</v>
      </c>
      <c r="S327" s="46" t="str">
        <f t="shared" si="134"/>
        <v>Yes</v>
      </c>
      <c r="T327" s="47">
        <f>ROUND(INDEX(Summary!H:H,MATCH(H:H,Summary!A:A,0)),2)</f>
        <v>0.15</v>
      </c>
      <c r="U327" s="47">
        <f>ROUND(INDEX(Summary!I:I,MATCH(H:H,Summary!A:A,0)),2)</f>
        <v>0.2</v>
      </c>
      <c r="V327" s="85">
        <f t="shared" si="135"/>
        <v>64072.930344582142</v>
      </c>
      <c r="W327" s="85">
        <f t="shared" si="135"/>
        <v>465724.68911530724</v>
      </c>
      <c r="X327" s="45">
        <f t="shared" si="136"/>
        <v>529797.61945988936</v>
      </c>
      <c r="Y327" s="45" t="s">
        <v>3223</v>
      </c>
      <c r="Z327" s="45" t="str">
        <f t="shared" si="137"/>
        <v>Yes</v>
      </c>
      <c r="AA327" s="45" t="str">
        <f t="shared" si="137"/>
        <v>Yes</v>
      </c>
      <c r="AB327" s="45" t="str">
        <f t="shared" si="138"/>
        <v>Yes</v>
      </c>
      <c r="AC327" s="86">
        <f t="shared" ref="AC327:AC390" si="151">IF(Y327="No",0,IFERROR(ROUND(IF(I327&gt;0,IF(O327&gt;0,$R$4*MAX(O327-V327,0),0),0)/I327,2),0))</f>
        <v>0.6</v>
      </c>
      <c r="AD327" s="86">
        <f t="shared" ref="AD327:AD390" si="152">IF(Y327="No",0,IFERROR(ROUND(IF(J327&gt;0,IF(P327&gt;0,$R$4*MAX(P327-W327,0),0),0)/J327,2),0))</f>
        <v>0.1</v>
      </c>
      <c r="AE327" s="45">
        <f t="shared" ref="AE327:AF390" si="153">AC327*I327</f>
        <v>256291.72137832857</v>
      </c>
      <c r="AF327" s="45">
        <f t="shared" si="153"/>
        <v>232862.34455765362</v>
      </c>
      <c r="AG327" s="45">
        <f t="shared" si="139"/>
        <v>489154.06593598216</v>
      </c>
      <c r="AH327" s="47">
        <f>IF(Y327="No",0,IFERROR(ROUNDDOWN(INDEX('90% of ACR'!K:K,MATCH(H:H,'90% of ACR'!A:A,0))*IF(I327&gt;0,IF(O327&gt;0,$R$4*MAX(O327-V327,0),0),0)/I327,2),0))</f>
        <v>0.56000000000000005</v>
      </c>
      <c r="AI327" s="86">
        <f>IF(Y327="No",0,IFERROR(ROUNDDOWN(INDEX('90% of ACR'!R:R,MATCH(H:H,'90% of ACR'!A:A,0))*IF(J327&gt;0,IF(P327&gt;0,$R$4*MAX(P327-W327,0),0),0)/J327,2),0))</f>
        <v>0.1</v>
      </c>
      <c r="AJ327" s="45">
        <f t="shared" si="140"/>
        <v>239205.60661977337</v>
      </c>
      <c r="AK327" s="45">
        <f t="shared" si="140"/>
        <v>232862.34455765362</v>
      </c>
      <c r="AL327" s="47">
        <f t="shared" si="141"/>
        <v>0.71000000000000008</v>
      </c>
      <c r="AM327" s="47">
        <f t="shared" si="141"/>
        <v>0.30000000000000004</v>
      </c>
      <c r="AN327" s="87">
        <f>IFERROR(INDEX(FeeCalc!P:P,MATCH(C327,FeeCalc!F:F,0)),0)</f>
        <v>1001865.5706373164</v>
      </c>
      <c r="AO327" s="87">
        <f>IFERROR(INDEX(FeeCalc!S:S,MATCH(C327,FeeCalc!F:F,0)),0)</f>
        <v>61362.832940110005</v>
      </c>
      <c r="AP327" s="87">
        <f t="shared" si="142"/>
        <v>1063228.4035774264</v>
      </c>
      <c r="AQ327" s="72">
        <f t="shared" si="143"/>
        <v>451161.83494681655</v>
      </c>
      <c r="AR327" s="72">
        <f t="shared" si="144"/>
        <v>225580.91747340828</v>
      </c>
      <c r="AS327" s="72">
        <f t="shared" si="145"/>
        <v>225580.91747340828</v>
      </c>
      <c r="AT327" s="72">
        <f>IFERROR(IFERROR(INDEX('2023 IP UPL Data'!L:L,MATCH(A:A,'2023 IP UPL Data'!B:B,0)),INDEX('2023 IMD UPL Data'!I:I,MATCH(A:A,'2023 IMD UPL Data'!B:B,0))),0)</f>
        <v>330581.48804720602</v>
      </c>
      <c r="AU327" s="72">
        <f>IFERROR(IF(F325="IMD",0,INDEX('2023 OP UPL Data'!J:J,MATCH(A:A,'2023 OP UPL Data'!B:B,0))),0)</f>
        <v>797120.09171428578</v>
      </c>
      <c r="AV327" s="45">
        <f t="shared" si="146"/>
        <v>1127701.5797614919</v>
      </c>
      <c r="AW327" s="72">
        <f>IFERROR(IFERROR(INDEX('2023 IP UPL Data'!M:M,MATCH(A:A,'2023 IP UPL Data'!B:B,0)),INDEX('2023 IMD UPL Data'!K:K,MATCH(A:A,'2023 IMD UPL Data'!B:B,0))),0)</f>
        <v>587994.9</v>
      </c>
      <c r="AX327" s="72">
        <f>IFERROR(IF(F325="IMD",0,INDEX('2023 OP UPL Data'!L:L,MATCH(A:A,'2023 OP UPL Data'!B:B,0))),0)</f>
        <v>393126.78</v>
      </c>
      <c r="AY327" s="45">
        <f t="shared" si="147"/>
        <v>981121.68</v>
      </c>
      <c r="AZ327" s="72">
        <v>762485.95542484161</v>
      </c>
      <c r="BA327" s="72">
        <v>1597665.6949452052</v>
      </c>
      <c r="BB327" s="72">
        <f t="shared" si="148"/>
        <v>698413.02508025942</v>
      </c>
      <c r="BC327" s="72">
        <f t="shared" si="148"/>
        <v>1131941.0058298979</v>
      </c>
      <c r="BD327" s="72">
        <f t="shared" si="149"/>
        <v>1830354.0309101576</v>
      </c>
      <c r="BE327" s="94">
        <f t="shared" si="150"/>
        <v>174491.05542484159</v>
      </c>
      <c r="BF327" s="94">
        <f t="shared" si="150"/>
        <v>1204538.9149452052</v>
      </c>
      <c r="BG327" s="73">
        <f>IFERROR(INDEX('2023 IP UPL Data'!K:K,MATCH(A327,'2023 IP UPL Data'!B:B,0)),0)</f>
        <v>0</v>
      </c>
    </row>
    <row r="328" spans="1:59">
      <c r="A328" s="124" t="s">
        <v>1069</v>
      </c>
      <c r="B328" s="149" t="s">
        <v>1069</v>
      </c>
      <c r="C328" s="31" t="s">
        <v>1070</v>
      </c>
      <c r="D328" s="181" t="s">
        <v>1070</v>
      </c>
      <c r="E328" s="144" t="s">
        <v>3383</v>
      </c>
      <c r="F328" s="120" t="s">
        <v>2768</v>
      </c>
      <c r="G328" s="120" t="s">
        <v>227</v>
      </c>
      <c r="H328" s="43" t="str">
        <f t="shared" si="130"/>
        <v>Rural MRSA West</v>
      </c>
      <c r="I328" s="45">
        <f>INDEX(FeeCalc!M:M,MATCH(C:C,FeeCalc!F:F,0))</f>
        <v>50162.53656689237</v>
      </c>
      <c r="J328" s="45">
        <f>INDEX(FeeCalc!L:L,MATCH(C:C,FeeCalc!F:F,0))</f>
        <v>140246.85920685751</v>
      </c>
      <c r="K328" s="45">
        <f t="shared" si="131"/>
        <v>190409.39577374989</v>
      </c>
      <c r="L328" s="45">
        <f>IFERROR(IFERROR(INDEX('2023 IP UPL Data'!N:N,MATCH(A:A,'2023 IP UPL Data'!B:B,0)),INDEX('2023 IMD UPL Data'!M:M,MATCH(A:A,'2023 IMD UPL Data'!B:B,0))),0)</f>
        <v>32932.686705770524</v>
      </c>
      <c r="M328" s="45">
        <f>IFERROR((IF(F328="IMD",0,INDEX('2023 OP UPL Data'!M:M,MATCH(A:A,'2023 OP UPL Data'!B:B,0)))),0)</f>
        <v>83789.286500000002</v>
      </c>
      <c r="N328" s="45">
        <f t="shared" si="132"/>
        <v>116721.97320577053</v>
      </c>
      <c r="O328" s="45">
        <v>-10827.549288122376</v>
      </c>
      <c r="P328" s="45">
        <v>81830.121896789045</v>
      </c>
      <c r="Q328" s="45">
        <f t="shared" si="133"/>
        <v>71002.572608666669</v>
      </c>
      <c r="R328" s="45" t="str">
        <f t="shared" si="134"/>
        <v>No</v>
      </c>
      <c r="S328" s="46" t="str">
        <f t="shared" si="134"/>
        <v>Yes</v>
      </c>
      <c r="T328" s="47">
        <f>ROUND(INDEX(Summary!H:H,MATCH(H:H,Summary!A:A,0)),2)</f>
        <v>0</v>
      </c>
      <c r="U328" s="47">
        <f>ROUND(INDEX(Summary!I:I,MATCH(H:H,Summary!A:A,0)),2)</f>
        <v>0.28999999999999998</v>
      </c>
      <c r="V328" s="85">
        <f t="shared" si="135"/>
        <v>0</v>
      </c>
      <c r="W328" s="85">
        <f t="shared" si="135"/>
        <v>40671.589169988678</v>
      </c>
      <c r="X328" s="45">
        <f t="shared" si="136"/>
        <v>40671.589169988678</v>
      </c>
      <c r="Y328" s="45" t="s">
        <v>3223</v>
      </c>
      <c r="Z328" s="45" t="str">
        <f t="shared" si="137"/>
        <v>No</v>
      </c>
      <c r="AA328" s="45" t="str">
        <f t="shared" si="137"/>
        <v>Yes</v>
      </c>
      <c r="AB328" s="45" t="str">
        <f t="shared" si="138"/>
        <v>Yes</v>
      </c>
      <c r="AC328" s="86">
        <f t="shared" si="151"/>
        <v>0</v>
      </c>
      <c r="AD328" s="86">
        <f t="shared" si="152"/>
        <v>0.2</v>
      </c>
      <c r="AE328" s="45">
        <f t="shared" si="153"/>
        <v>0</v>
      </c>
      <c r="AF328" s="45">
        <f t="shared" si="153"/>
        <v>28049.371841371503</v>
      </c>
      <c r="AG328" s="45">
        <f t="shared" si="139"/>
        <v>28049.371841371503</v>
      </c>
      <c r="AH328" s="47">
        <f>IF(Y328="No",0,IFERROR(ROUNDDOWN(INDEX('90% of ACR'!K:K,MATCH(H:H,'90% of ACR'!A:A,0))*IF(I328&gt;0,IF(O328&gt;0,$R$4*MAX(O328-V328,0),0),0)/I328,2),0))</f>
        <v>0</v>
      </c>
      <c r="AI328" s="86">
        <f>IF(Y328="No",0,IFERROR(ROUNDDOWN(INDEX('90% of ACR'!R:R,MATCH(H:H,'90% of ACR'!A:A,0))*IF(J328&gt;0,IF(P328&gt;0,$R$4*MAX(P328-W328,0),0),0)/J328,2),0))</f>
        <v>0.2</v>
      </c>
      <c r="AJ328" s="45">
        <f t="shared" si="140"/>
        <v>0</v>
      </c>
      <c r="AK328" s="45">
        <f t="shared" si="140"/>
        <v>28049.371841371503</v>
      </c>
      <c r="AL328" s="47">
        <f t="shared" si="141"/>
        <v>0</v>
      </c>
      <c r="AM328" s="47">
        <f t="shared" si="141"/>
        <v>0.49</v>
      </c>
      <c r="AN328" s="87">
        <f>IFERROR(INDEX(FeeCalc!P:P,MATCH(C328,FeeCalc!F:F,0)),0)</f>
        <v>68720.961011360181</v>
      </c>
      <c r="AO328" s="87">
        <f>IFERROR(INDEX(FeeCalc!S:S,MATCH(C328,FeeCalc!F:F,0)),0)</f>
        <v>4230.7997676693276</v>
      </c>
      <c r="AP328" s="87">
        <f t="shared" si="142"/>
        <v>72951.760779029515</v>
      </c>
      <c r="AQ328" s="72">
        <f t="shared" si="143"/>
        <v>30955.766554887156</v>
      </c>
      <c r="AR328" s="72">
        <f t="shared" si="144"/>
        <v>15477.883277443578</v>
      </c>
      <c r="AS328" s="72">
        <f t="shared" si="145"/>
        <v>15477.883277443578</v>
      </c>
      <c r="AT328" s="72">
        <f>IFERROR(IFERROR(INDEX('2023 IP UPL Data'!L:L,MATCH(A:A,'2023 IP UPL Data'!B:B,0)),INDEX('2023 IMD UPL Data'!I:I,MATCH(A:A,'2023 IMD UPL Data'!B:B,0))),0)</f>
        <v>66437.783294229477</v>
      </c>
      <c r="AU328" s="72">
        <f>IFERROR(IF(F326="IMD",0,INDEX('2023 OP UPL Data'!J:J,MATCH(A:A,'2023 OP UPL Data'!B:B,0))),0)</f>
        <v>76691.703499999989</v>
      </c>
      <c r="AV328" s="45">
        <f t="shared" si="146"/>
        <v>143129.48679422948</v>
      </c>
      <c r="AW328" s="72">
        <f>IFERROR(IFERROR(INDEX('2023 IP UPL Data'!M:M,MATCH(A:A,'2023 IP UPL Data'!B:B,0)),INDEX('2023 IMD UPL Data'!K:K,MATCH(A:A,'2023 IMD UPL Data'!B:B,0))),0)</f>
        <v>99370.47</v>
      </c>
      <c r="AX328" s="72">
        <f>IFERROR(IF(F326="IMD",0,INDEX('2023 OP UPL Data'!L:L,MATCH(A:A,'2023 OP UPL Data'!B:B,0))),0)</f>
        <v>160480.99</v>
      </c>
      <c r="AY328" s="45">
        <f t="shared" si="147"/>
        <v>259851.46</v>
      </c>
      <c r="AZ328" s="72">
        <v>55610.234006107101</v>
      </c>
      <c r="BA328" s="72">
        <v>158521.82539678903</v>
      </c>
      <c r="BB328" s="72">
        <f t="shared" si="148"/>
        <v>55610.234006107101</v>
      </c>
      <c r="BC328" s="72">
        <f t="shared" si="148"/>
        <v>117850.23622680036</v>
      </c>
      <c r="BD328" s="72">
        <f t="shared" si="149"/>
        <v>173460.47023290748</v>
      </c>
      <c r="BE328" s="94">
        <f t="shared" si="150"/>
        <v>0</v>
      </c>
      <c r="BF328" s="94">
        <f t="shared" si="150"/>
        <v>0</v>
      </c>
      <c r="BG328" s="73">
        <f>IFERROR(INDEX('2023 IP UPL Data'!K:K,MATCH(A328,'2023 IP UPL Data'!B:B,0)),0)</f>
        <v>0</v>
      </c>
    </row>
    <row r="329" spans="1:59">
      <c r="A329" s="124" t="s">
        <v>992</v>
      </c>
      <c r="B329" s="149" t="s">
        <v>992</v>
      </c>
      <c r="C329" s="31" t="s">
        <v>993</v>
      </c>
      <c r="D329" s="181" t="s">
        <v>993</v>
      </c>
      <c r="E329" s="144" t="s">
        <v>3563</v>
      </c>
      <c r="F329" s="120" t="s">
        <v>2768</v>
      </c>
      <c r="G329" s="120" t="s">
        <v>227</v>
      </c>
      <c r="H329" s="43" t="str">
        <f t="shared" si="130"/>
        <v>Rural MRSA West</v>
      </c>
      <c r="I329" s="45">
        <f>INDEX(FeeCalc!M:M,MATCH(C:C,FeeCalc!F:F,0))</f>
        <v>1520632.5887344461</v>
      </c>
      <c r="J329" s="45">
        <f>INDEX(FeeCalc!L:L,MATCH(C:C,FeeCalc!F:F,0))</f>
        <v>2097245.1854864988</v>
      </c>
      <c r="K329" s="45">
        <f t="shared" si="131"/>
        <v>3617877.7742209448</v>
      </c>
      <c r="L329" s="45">
        <f>IFERROR(IFERROR(INDEX('2023 IP UPL Data'!N:N,MATCH(A:A,'2023 IP UPL Data'!B:B,0)),INDEX('2023 IMD UPL Data'!M:M,MATCH(A:A,'2023 IMD UPL Data'!B:B,0))),0)</f>
        <v>-683266.19376228983</v>
      </c>
      <c r="M329" s="45">
        <f>IFERROR((IF(F329="IMD",0,INDEX('2023 OP UPL Data'!M:M,MATCH(A:A,'2023 OP UPL Data'!B:B,0)))),0)</f>
        <v>368550.92049999989</v>
      </c>
      <c r="N329" s="45">
        <f t="shared" si="132"/>
        <v>-314715.27326228993</v>
      </c>
      <c r="O329" s="45">
        <v>-1149901.4370311343</v>
      </c>
      <c r="P329" s="45">
        <v>98923.533301646123</v>
      </c>
      <c r="Q329" s="45">
        <f t="shared" si="133"/>
        <v>-1050977.9037294881</v>
      </c>
      <c r="R329" s="45" t="str">
        <f t="shared" si="134"/>
        <v>No</v>
      </c>
      <c r="S329" s="46" t="str">
        <f t="shared" si="134"/>
        <v>Yes</v>
      </c>
      <c r="T329" s="47">
        <f>ROUND(INDEX(Summary!H:H,MATCH(H:H,Summary!A:A,0)),2)</f>
        <v>0</v>
      </c>
      <c r="U329" s="47">
        <f>ROUND(INDEX(Summary!I:I,MATCH(H:H,Summary!A:A,0)),2)</f>
        <v>0.28999999999999998</v>
      </c>
      <c r="V329" s="85">
        <f t="shared" si="135"/>
        <v>0</v>
      </c>
      <c r="W329" s="85">
        <f t="shared" si="135"/>
        <v>608201.10379108461</v>
      </c>
      <c r="X329" s="45">
        <f t="shared" si="136"/>
        <v>608201.10379108461</v>
      </c>
      <c r="Y329" s="45" t="s">
        <v>3223</v>
      </c>
      <c r="Z329" s="45" t="str">
        <f t="shared" si="137"/>
        <v>No</v>
      </c>
      <c r="AA329" s="45" t="str">
        <f t="shared" si="137"/>
        <v>No</v>
      </c>
      <c r="AB329" s="45" t="str">
        <f t="shared" si="138"/>
        <v>No</v>
      </c>
      <c r="AC329" s="86">
        <f t="shared" si="151"/>
        <v>0</v>
      </c>
      <c r="AD329" s="86">
        <f t="shared" si="152"/>
        <v>0</v>
      </c>
      <c r="AE329" s="45">
        <f t="shared" si="153"/>
        <v>0</v>
      </c>
      <c r="AF329" s="45">
        <f t="shared" si="153"/>
        <v>0</v>
      </c>
      <c r="AG329" s="45">
        <f t="shared" si="139"/>
        <v>0</v>
      </c>
      <c r="AH329" s="47">
        <f>IF(Y329="No",0,IFERROR(ROUNDDOWN(INDEX('90% of ACR'!K:K,MATCH(H:H,'90% of ACR'!A:A,0))*IF(I329&gt;0,IF(O329&gt;0,$R$4*MAX(O329-V329,0),0),0)/I329,2),0))</f>
        <v>0</v>
      </c>
      <c r="AI329" s="86">
        <f>IF(Y329="No",0,IFERROR(ROUNDDOWN(INDEX('90% of ACR'!R:R,MATCH(H:H,'90% of ACR'!A:A,0))*IF(J329&gt;0,IF(P329&gt;0,$R$4*MAX(P329-W329,0),0),0)/J329,2),0))</f>
        <v>0</v>
      </c>
      <c r="AJ329" s="45">
        <f t="shared" si="140"/>
        <v>0</v>
      </c>
      <c r="AK329" s="45">
        <f t="shared" si="140"/>
        <v>0</v>
      </c>
      <c r="AL329" s="47">
        <f t="shared" si="141"/>
        <v>0</v>
      </c>
      <c r="AM329" s="47">
        <f t="shared" si="141"/>
        <v>0.28999999999999998</v>
      </c>
      <c r="AN329" s="87">
        <f>IFERROR(INDEX(FeeCalc!P:P,MATCH(C329,FeeCalc!F:F,0)),0)</f>
        <v>608201.10379108461</v>
      </c>
      <c r="AO329" s="87">
        <f>IFERROR(INDEX(FeeCalc!S:S,MATCH(C329,FeeCalc!F:F,0)),0)</f>
        <v>37460.807778518778</v>
      </c>
      <c r="AP329" s="87">
        <f t="shared" si="142"/>
        <v>645661.91156960337</v>
      </c>
      <c r="AQ329" s="72">
        <f t="shared" si="143"/>
        <v>273975.01026015298</v>
      </c>
      <c r="AR329" s="72">
        <f t="shared" si="144"/>
        <v>136987.50513007649</v>
      </c>
      <c r="AS329" s="72">
        <f t="shared" si="145"/>
        <v>136987.50513007649</v>
      </c>
      <c r="AT329" s="72">
        <f>IFERROR(IFERROR(INDEX('2023 IP UPL Data'!L:L,MATCH(A:A,'2023 IP UPL Data'!B:B,0)),INDEX('2023 IMD UPL Data'!I:I,MATCH(A:A,'2023 IMD UPL Data'!B:B,0))),0)</f>
        <v>1818107.2937622899</v>
      </c>
      <c r="AU329" s="72">
        <f>IFERROR(IF(F327="IMD",0,INDEX('2023 OP UPL Data'!J:J,MATCH(A:A,'2023 OP UPL Data'!B:B,0))),0)</f>
        <v>548659.27950000006</v>
      </c>
      <c r="AV329" s="45">
        <f t="shared" si="146"/>
        <v>2366766.5732622901</v>
      </c>
      <c r="AW329" s="72">
        <f>IFERROR(IFERROR(INDEX('2023 IP UPL Data'!M:M,MATCH(A:A,'2023 IP UPL Data'!B:B,0)),INDEX('2023 IMD UPL Data'!K:K,MATCH(A:A,'2023 IMD UPL Data'!B:B,0))),0)</f>
        <v>1134841.1000000001</v>
      </c>
      <c r="AX329" s="72">
        <f>IFERROR(IF(F327="IMD",0,INDEX('2023 OP UPL Data'!L:L,MATCH(A:A,'2023 OP UPL Data'!B:B,0))),0)</f>
        <v>917210.2</v>
      </c>
      <c r="AY329" s="45">
        <f t="shared" si="147"/>
        <v>2052051.3</v>
      </c>
      <c r="AZ329" s="72">
        <v>668205.85673115565</v>
      </c>
      <c r="BA329" s="72">
        <v>647582.81280164619</v>
      </c>
      <c r="BB329" s="72">
        <f t="shared" si="148"/>
        <v>668205.85673115565</v>
      </c>
      <c r="BC329" s="72">
        <f t="shared" si="148"/>
        <v>39381.709010561579</v>
      </c>
      <c r="BD329" s="72">
        <f t="shared" si="149"/>
        <v>707587.56574171735</v>
      </c>
      <c r="BE329" s="94">
        <f t="shared" si="150"/>
        <v>0</v>
      </c>
      <c r="BF329" s="94">
        <f t="shared" si="150"/>
        <v>0</v>
      </c>
      <c r="BG329" s="73">
        <f>IFERROR(INDEX('2023 IP UPL Data'!K:K,MATCH(A329,'2023 IP UPL Data'!B:B,0)),0)</f>
        <v>0</v>
      </c>
    </row>
    <row r="330" spans="1:59">
      <c r="A330" s="124" t="s">
        <v>437</v>
      </c>
      <c r="B330" s="149" t="s">
        <v>437</v>
      </c>
      <c r="C330" s="31" t="s">
        <v>438</v>
      </c>
      <c r="D330" s="181" t="s">
        <v>438</v>
      </c>
      <c r="E330" s="144" t="s">
        <v>3564</v>
      </c>
      <c r="F330" s="120" t="s">
        <v>1552</v>
      </c>
      <c r="G330" s="120" t="s">
        <v>223</v>
      </c>
      <c r="H330" s="43" t="str">
        <f t="shared" si="130"/>
        <v>Children's Dallas</v>
      </c>
      <c r="I330" s="45">
        <f>INDEX(FeeCalc!M:M,MATCH(C:C,FeeCalc!F:F,0))</f>
        <v>5744376.0530944169</v>
      </c>
      <c r="J330" s="45">
        <f>INDEX(FeeCalc!L:L,MATCH(C:C,FeeCalc!F:F,0))</f>
        <v>2216677.3086414905</v>
      </c>
      <c r="K330" s="45">
        <f t="shared" si="131"/>
        <v>7961053.3617359074</v>
      </c>
      <c r="L330" s="45">
        <f>IFERROR(IFERROR(INDEX('2023 IP UPL Data'!N:N,MATCH(A:A,'2023 IP UPL Data'!B:B,0)),INDEX('2023 IMD UPL Data'!M:M,MATCH(A:A,'2023 IMD UPL Data'!B:B,0))),0)</f>
        <v>-2869100.506713287</v>
      </c>
      <c r="M330" s="45">
        <f>IFERROR((IF(F330="IMD",0,INDEX('2023 OP UPL Data'!M:M,MATCH(A:A,'2023 OP UPL Data'!B:B,0)))),0)</f>
        <v>467051.34125874192</v>
      </c>
      <c r="N330" s="45">
        <f t="shared" si="132"/>
        <v>-2402049.1654545451</v>
      </c>
      <c r="O330" s="45">
        <v>-789971.03662219457</v>
      </c>
      <c r="P330" s="45">
        <v>2459944.7643196625</v>
      </c>
      <c r="Q330" s="45">
        <f t="shared" si="133"/>
        <v>1669973.7276974679</v>
      </c>
      <c r="R330" s="45" t="str">
        <f t="shared" si="134"/>
        <v>No</v>
      </c>
      <c r="S330" s="46" t="str">
        <f t="shared" si="134"/>
        <v>Yes</v>
      </c>
      <c r="T330" s="47">
        <f>ROUND(INDEX(Summary!H:H,MATCH(H:H,Summary!A:A,0)),2)</f>
        <v>1.6</v>
      </c>
      <c r="U330" s="47">
        <f>ROUND(INDEX(Summary!I:I,MATCH(H:H,Summary!A:A,0)),2)</f>
        <v>0</v>
      </c>
      <c r="V330" s="85">
        <f t="shared" si="135"/>
        <v>9191001.684951067</v>
      </c>
      <c r="W330" s="85">
        <f t="shared" si="135"/>
        <v>0</v>
      </c>
      <c r="X330" s="45">
        <f t="shared" si="136"/>
        <v>9191001.684951067</v>
      </c>
      <c r="Y330" s="45" t="s">
        <v>3223</v>
      </c>
      <c r="Z330" s="45" t="str">
        <f t="shared" si="137"/>
        <v>No</v>
      </c>
      <c r="AA330" s="45" t="str">
        <f t="shared" si="137"/>
        <v>Yes</v>
      </c>
      <c r="AB330" s="45" t="str">
        <f t="shared" si="138"/>
        <v>Yes</v>
      </c>
      <c r="AC330" s="86">
        <f t="shared" si="151"/>
        <v>0</v>
      </c>
      <c r="AD330" s="86">
        <f t="shared" si="152"/>
        <v>0.77</v>
      </c>
      <c r="AE330" s="45">
        <f t="shared" si="153"/>
        <v>0</v>
      </c>
      <c r="AF330" s="45">
        <f t="shared" si="153"/>
        <v>1706841.5276539477</v>
      </c>
      <c r="AG330" s="45">
        <f t="shared" si="139"/>
        <v>1706841.5276539477</v>
      </c>
      <c r="AH330" s="47">
        <f>IF(Y330="No",0,IFERROR(ROUNDDOWN(INDEX('90% of ACR'!K:K,MATCH(H:H,'90% of ACR'!A:A,0))*IF(I330&gt;0,IF(O330&gt;0,$R$4*MAX(O330-V330,0),0),0)/I330,2),0))</f>
        <v>0</v>
      </c>
      <c r="AI330" s="86">
        <f>IF(Y330="No",0,IFERROR(ROUNDDOWN(INDEX('90% of ACR'!R:R,MATCH(H:H,'90% of ACR'!A:A,0))*IF(J330&gt;0,IF(P330&gt;0,$R$4*MAX(P330-W330,0),0),0)/J330,2),0))</f>
        <v>0.77</v>
      </c>
      <c r="AJ330" s="45">
        <f t="shared" si="140"/>
        <v>0</v>
      </c>
      <c r="AK330" s="45">
        <f t="shared" si="140"/>
        <v>1706841.5276539477</v>
      </c>
      <c r="AL330" s="47">
        <f t="shared" si="141"/>
        <v>1.6</v>
      </c>
      <c r="AM330" s="47">
        <f t="shared" si="141"/>
        <v>0.77</v>
      </c>
      <c r="AN330" s="87">
        <f>IFERROR(INDEX(FeeCalc!P:P,MATCH(C330,FeeCalc!F:F,0)),0)</f>
        <v>10897843.212605014</v>
      </c>
      <c r="AO330" s="87">
        <f>IFERROR(INDEX(FeeCalc!S:S,MATCH(C330,FeeCalc!F:F,0)),0)</f>
        <v>665041.17535517272</v>
      </c>
      <c r="AP330" s="87">
        <f t="shared" si="142"/>
        <v>11562884.387960188</v>
      </c>
      <c r="AQ330" s="72">
        <f t="shared" si="143"/>
        <v>4906501.8581119226</v>
      </c>
      <c r="AR330" s="72">
        <f t="shared" si="144"/>
        <v>2453250.9290559613</v>
      </c>
      <c r="AS330" s="72">
        <f t="shared" si="145"/>
        <v>2453250.9290559613</v>
      </c>
      <c r="AT330" s="72">
        <f>IFERROR(IFERROR(INDEX('2023 IP UPL Data'!L:L,MATCH(A:A,'2023 IP UPL Data'!B:B,0)),INDEX('2023 IMD UPL Data'!I:I,MATCH(A:A,'2023 IMD UPL Data'!B:B,0))),0)</f>
        <v>4873362.2867132872</v>
      </c>
      <c r="AU330" s="72">
        <f>IFERROR(IF(F328="IMD",0,INDEX('2023 OP UPL Data'!J:J,MATCH(A:A,'2023 OP UPL Data'!B:B,0))),0)</f>
        <v>1061101.2587412582</v>
      </c>
      <c r="AV330" s="45">
        <f t="shared" si="146"/>
        <v>5934463.5454545449</v>
      </c>
      <c r="AW330" s="72">
        <f>IFERROR(IFERROR(INDEX('2023 IP UPL Data'!M:M,MATCH(A:A,'2023 IP UPL Data'!B:B,0)),INDEX('2023 IMD UPL Data'!K:K,MATCH(A:A,'2023 IMD UPL Data'!B:B,0))),0)</f>
        <v>2004261.78</v>
      </c>
      <c r="AX330" s="72">
        <f>IFERROR(IF(F328="IMD",0,INDEX('2023 OP UPL Data'!L:L,MATCH(A:A,'2023 OP UPL Data'!B:B,0))),0)</f>
        <v>1528152.6</v>
      </c>
      <c r="AY330" s="45">
        <f t="shared" si="147"/>
        <v>3532414.38</v>
      </c>
      <c r="AZ330" s="72">
        <v>4083391.2500910927</v>
      </c>
      <c r="BA330" s="72">
        <v>3521046.0230609206</v>
      </c>
      <c r="BB330" s="72">
        <f t="shared" si="148"/>
        <v>0</v>
      </c>
      <c r="BC330" s="72">
        <f t="shared" si="148"/>
        <v>3521046.0230609206</v>
      </c>
      <c r="BD330" s="72">
        <f t="shared" si="149"/>
        <v>0</v>
      </c>
      <c r="BE330" s="94">
        <f t="shared" si="150"/>
        <v>2079129.4700910926</v>
      </c>
      <c r="BF330" s="94">
        <f t="shared" si="150"/>
        <v>1992893.4230609206</v>
      </c>
      <c r="BG330" s="73">
        <f>IFERROR(INDEX('2023 IP UPL Data'!K:K,MATCH(A330,'2023 IP UPL Data'!B:B,0)),0)</f>
        <v>0</v>
      </c>
    </row>
    <row r="331" spans="1:59">
      <c r="A331" s="124" t="s">
        <v>801</v>
      </c>
      <c r="B331" s="149" t="s">
        <v>801</v>
      </c>
      <c r="C331" s="31" t="s">
        <v>802</v>
      </c>
      <c r="D331" s="181" t="s">
        <v>802</v>
      </c>
      <c r="E331" s="144" t="s">
        <v>3377</v>
      </c>
      <c r="F331" s="120" t="s">
        <v>2768</v>
      </c>
      <c r="G331" s="120" t="s">
        <v>227</v>
      </c>
      <c r="H331" s="43" t="str">
        <f t="shared" si="130"/>
        <v>Rural MRSA West</v>
      </c>
      <c r="I331" s="45">
        <f>INDEX(FeeCalc!M:M,MATCH(C:C,FeeCalc!F:F,0))</f>
        <v>32939.359169981297</v>
      </c>
      <c r="J331" s="45">
        <f>INDEX(FeeCalc!L:L,MATCH(C:C,FeeCalc!F:F,0))</f>
        <v>342547.67397476116</v>
      </c>
      <c r="K331" s="45">
        <f t="shared" si="131"/>
        <v>375487.03314474248</v>
      </c>
      <c r="L331" s="45">
        <f>IFERROR(IFERROR(INDEX('2023 IP UPL Data'!N:N,MATCH(A:A,'2023 IP UPL Data'!B:B,0)),INDEX('2023 IMD UPL Data'!M:M,MATCH(A:A,'2023 IMD UPL Data'!B:B,0))),0)</f>
        <v>-16230.340743891647</v>
      </c>
      <c r="M331" s="45">
        <f>IFERROR((IF(F331="IMD",0,INDEX('2023 OP UPL Data'!M:M,MATCH(A:A,'2023 OP UPL Data'!B:B,0)))),0)</f>
        <v>39269.163250000012</v>
      </c>
      <c r="N331" s="45">
        <f t="shared" si="132"/>
        <v>23038.822506108365</v>
      </c>
      <c r="O331" s="45">
        <v>-17344.793906136198</v>
      </c>
      <c r="P331" s="45">
        <v>116505.9568751222</v>
      </c>
      <c r="Q331" s="45">
        <f t="shared" si="133"/>
        <v>99161.162968985998</v>
      </c>
      <c r="R331" s="45" t="str">
        <f t="shared" si="134"/>
        <v>No</v>
      </c>
      <c r="S331" s="46" t="str">
        <f t="shared" si="134"/>
        <v>Yes</v>
      </c>
      <c r="T331" s="47">
        <f>ROUND(INDEX(Summary!H:H,MATCH(H:H,Summary!A:A,0)),2)</f>
        <v>0</v>
      </c>
      <c r="U331" s="47">
        <f>ROUND(INDEX(Summary!I:I,MATCH(H:H,Summary!A:A,0)),2)</f>
        <v>0.28999999999999998</v>
      </c>
      <c r="V331" s="85">
        <f t="shared" si="135"/>
        <v>0</v>
      </c>
      <c r="W331" s="85">
        <f t="shared" si="135"/>
        <v>99338.825452680729</v>
      </c>
      <c r="X331" s="45">
        <f t="shared" si="136"/>
        <v>99338.825452680729</v>
      </c>
      <c r="Y331" s="45" t="s">
        <v>3223</v>
      </c>
      <c r="Z331" s="45" t="str">
        <f t="shared" si="137"/>
        <v>No</v>
      </c>
      <c r="AA331" s="45" t="str">
        <f t="shared" si="137"/>
        <v>Yes</v>
      </c>
      <c r="AB331" s="45" t="str">
        <f t="shared" si="138"/>
        <v>Yes</v>
      </c>
      <c r="AC331" s="86">
        <f t="shared" si="151"/>
        <v>0</v>
      </c>
      <c r="AD331" s="86">
        <f t="shared" si="152"/>
        <v>0.03</v>
      </c>
      <c r="AE331" s="45">
        <f t="shared" si="153"/>
        <v>0</v>
      </c>
      <c r="AF331" s="45">
        <f t="shared" si="153"/>
        <v>10276.430219242835</v>
      </c>
      <c r="AG331" s="45">
        <f t="shared" si="139"/>
        <v>10276.430219242835</v>
      </c>
      <c r="AH331" s="47">
        <f>IF(Y331="No",0,IFERROR(ROUNDDOWN(INDEX('90% of ACR'!K:K,MATCH(H:H,'90% of ACR'!A:A,0))*IF(I331&gt;0,IF(O331&gt;0,$R$4*MAX(O331-V331,0),0),0)/I331,2),0))</f>
        <v>0</v>
      </c>
      <c r="AI331" s="86">
        <f>IF(Y331="No",0,IFERROR(ROUNDDOWN(INDEX('90% of ACR'!R:R,MATCH(H:H,'90% of ACR'!A:A,0))*IF(J331&gt;0,IF(P331&gt;0,$R$4*MAX(P331-W331,0),0),0)/J331,2),0))</f>
        <v>0.03</v>
      </c>
      <c r="AJ331" s="45">
        <f t="shared" si="140"/>
        <v>0</v>
      </c>
      <c r="AK331" s="45">
        <f t="shared" si="140"/>
        <v>10276.430219242835</v>
      </c>
      <c r="AL331" s="47">
        <f t="shared" si="141"/>
        <v>0</v>
      </c>
      <c r="AM331" s="47">
        <f t="shared" si="141"/>
        <v>0.31999999999999995</v>
      </c>
      <c r="AN331" s="87">
        <f>IFERROR(INDEX(FeeCalc!P:P,MATCH(C331,FeeCalc!F:F,0)),0)</f>
        <v>109615.25567192356</v>
      </c>
      <c r="AO331" s="87">
        <f>IFERROR(INDEX(FeeCalc!S:S,MATCH(C331,FeeCalc!F:F,0)),0)</f>
        <v>6764.8209411247226</v>
      </c>
      <c r="AP331" s="87">
        <f t="shared" si="142"/>
        <v>116380.07661304828</v>
      </c>
      <c r="AQ331" s="72">
        <f t="shared" si="143"/>
        <v>49383.790669368012</v>
      </c>
      <c r="AR331" s="72">
        <f t="shared" si="144"/>
        <v>24691.895334684006</v>
      </c>
      <c r="AS331" s="72">
        <f t="shared" si="145"/>
        <v>24691.895334684006</v>
      </c>
      <c r="AT331" s="72">
        <f>IFERROR(IFERROR(INDEX('2023 IP UPL Data'!L:L,MATCH(A:A,'2023 IP UPL Data'!B:B,0)),INDEX('2023 IMD UPL Data'!I:I,MATCH(A:A,'2023 IMD UPL Data'!B:B,0))),0)</f>
        <v>62784.630743891648</v>
      </c>
      <c r="AU331" s="72">
        <f>IFERROR(IF(F329="IMD",0,INDEX('2023 OP UPL Data'!J:J,MATCH(A:A,'2023 OP UPL Data'!B:B,0))),0)</f>
        <v>67453.876749999981</v>
      </c>
      <c r="AV331" s="45">
        <f t="shared" si="146"/>
        <v>130238.50749389164</v>
      </c>
      <c r="AW331" s="72">
        <f>IFERROR(IFERROR(INDEX('2023 IP UPL Data'!M:M,MATCH(A:A,'2023 IP UPL Data'!B:B,0)),INDEX('2023 IMD UPL Data'!K:K,MATCH(A:A,'2023 IMD UPL Data'!B:B,0))),0)</f>
        <v>46554.29</v>
      </c>
      <c r="AX331" s="72">
        <f>IFERROR(IF(F329="IMD",0,INDEX('2023 OP UPL Data'!L:L,MATCH(A:A,'2023 OP UPL Data'!B:B,0))),0)</f>
        <v>106723.04</v>
      </c>
      <c r="AY331" s="45">
        <f t="shared" si="147"/>
        <v>153277.32999999999</v>
      </c>
      <c r="AZ331" s="72">
        <v>45439.836837755451</v>
      </c>
      <c r="BA331" s="72">
        <v>183959.83362512218</v>
      </c>
      <c r="BB331" s="72">
        <f t="shared" si="148"/>
        <v>45439.836837755451</v>
      </c>
      <c r="BC331" s="72">
        <f t="shared" si="148"/>
        <v>84621.008172441449</v>
      </c>
      <c r="BD331" s="72">
        <f t="shared" si="149"/>
        <v>130060.84501019691</v>
      </c>
      <c r="BE331" s="94">
        <f t="shared" si="150"/>
        <v>0</v>
      </c>
      <c r="BF331" s="94">
        <f t="shared" si="150"/>
        <v>77236.793625122184</v>
      </c>
      <c r="BG331" s="73">
        <f>IFERROR(INDEX('2023 IP UPL Data'!K:K,MATCH(A331,'2023 IP UPL Data'!B:B,0)),0)</f>
        <v>0</v>
      </c>
    </row>
    <row r="332" spans="1:59">
      <c r="A332" s="124" t="s">
        <v>1376</v>
      </c>
      <c r="B332" s="149" t="s">
        <v>1376</v>
      </c>
      <c r="C332" s="31" t="s">
        <v>1377</v>
      </c>
      <c r="D332" s="181" t="s">
        <v>1377</v>
      </c>
      <c r="E332" s="144" t="s">
        <v>3324</v>
      </c>
      <c r="F332" s="120" t="s">
        <v>2768</v>
      </c>
      <c r="G332" s="120" t="s">
        <v>227</v>
      </c>
      <c r="H332" s="43" t="str">
        <f t="shared" si="130"/>
        <v>Rural MRSA West</v>
      </c>
      <c r="I332" s="45">
        <f>INDEX(FeeCalc!M:M,MATCH(C:C,FeeCalc!F:F,0))</f>
        <v>947267.00067738001</v>
      </c>
      <c r="J332" s="45">
        <f>INDEX(FeeCalc!L:L,MATCH(C:C,FeeCalc!F:F,0))</f>
        <v>2007990.2882317335</v>
      </c>
      <c r="K332" s="45">
        <f t="shared" si="131"/>
        <v>2955257.2889091135</v>
      </c>
      <c r="L332" s="45">
        <f>IFERROR(IFERROR(INDEX('2023 IP UPL Data'!N:N,MATCH(A:A,'2023 IP UPL Data'!B:B,0)),INDEX('2023 IMD UPL Data'!M:M,MATCH(A:A,'2023 IMD UPL Data'!B:B,0))),0)</f>
        <v>-438894.86057339376</v>
      </c>
      <c r="M332" s="45">
        <f>IFERROR((IF(F332="IMD",0,INDEX('2023 OP UPL Data'!M:M,MATCH(A:A,'2023 OP UPL Data'!B:B,0)))),0)</f>
        <v>527404.92863945593</v>
      </c>
      <c r="N332" s="45">
        <f t="shared" si="132"/>
        <v>88510.068066062173</v>
      </c>
      <c r="O332" s="45">
        <v>-177886.90947458195</v>
      </c>
      <c r="P332" s="45">
        <v>948189.64550626115</v>
      </c>
      <c r="Q332" s="45">
        <f t="shared" si="133"/>
        <v>770302.7360316792</v>
      </c>
      <c r="R332" s="45" t="str">
        <f t="shared" si="134"/>
        <v>No</v>
      </c>
      <c r="S332" s="46" t="str">
        <f t="shared" si="134"/>
        <v>Yes</v>
      </c>
      <c r="T332" s="47">
        <f>ROUND(INDEX(Summary!H:H,MATCH(H:H,Summary!A:A,0)),2)</f>
        <v>0</v>
      </c>
      <c r="U332" s="47">
        <f>ROUND(INDEX(Summary!I:I,MATCH(H:H,Summary!A:A,0)),2)</f>
        <v>0.28999999999999998</v>
      </c>
      <c r="V332" s="85">
        <f t="shared" si="135"/>
        <v>0</v>
      </c>
      <c r="W332" s="85">
        <f t="shared" si="135"/>
        <v>582317.18358720269</v>
      </c>
      <c r="X332" s="45">
        <f t="shared" si="136"/>
        <v>582317.18358720269</v>
      </c>
      <c r="Y332" s="45" t="s">
        <v>3223</v>
      </c>
      <c r="Z332" s="45" t="str">
        <f t="shared" si="137"/>
        <v>No</v>
      </c>
      <c r="AA332" s="45" t="str">
        <f t="shared" si="137"/>
        <v>Yes</v>
      </c>
      <c r="AB332" s="45" t="str">
        <f t="shared" si="138"/>
        <v>Yes</v>
      </c>
      <c r="AC332" s="86">
        <f t="shared" si="151"/>
        <v>0</v>
      </c>
      <c r="AD332" s="86">
        <f t="shared" si="152"/>
        <v>0.13</v>
      </c>
      <c r="AE332" s="45">
        <f t="shared" si="153"/>
        <v>0</v>
      </c>
      <c r="AF332" s="45">
        <f t="shared" si="153"/>
        <v>261038.73747012537</v>
      </c>
      <c r="AG332" s="45">
        <f t="shared" si="139"/>
        <v>261038.73747012537</v>
      </c>
      <c r="AH332" s="47">
        <f>IF(Y332="No",0,IFERROR(ROUNDDOWN(INDEX('90% of ACR'!K:K,MATCH(H:H,'90% of ACR'!A:A,0))*IF(I332&gt;0,IF(O332&gt;0,$R$4*MAX(O332-V332,0),0),0)/I332,2),0))</f>
        <v>0</v>
      </c>
      <c r="AI332" s="86">
        <f>IF(Y332="No",0,IFERROR(ROUNDDOWN(INDEX('90% of ACR'!R:R,MATCH(H:H,'90% of ACR'!A:A,0))*IF(J332&gt;0,IF(P332&gt;0,$R$4*MAX(P332-W332,0),0),0)/J332,2),0))</f>
        <v>0.12</v>
      </c>
      <c r="AJ332" s="45">
        <f t="shared" si="140"/>
        <v>0</v>
      </c>
      <c r="AK332" s="45">
        <f t="shared" si="140"/>
        <v>240958.834587808</v>
      </c>
      <c r="AL332" s="47">
        <f t="shared" si="141"/>
        <v>0</v>
      </c>
      <c r="AM332" s="47">
        <f t="shared" si="141"/>
        <v>0.41</v>
      </c>
      <c r="AN332" s="87">
        <f>IFERROR(INDEX(FeeCalc!P:P,MATCH(C332,FeeCalc!F:F,0)),0)</f>
        <v>823276.01817501069</v>
      </c>
      <c r="AO332" s="87">
        <f>IFERROR(INDEX(FeeCalc!S:S,MATCH(C332,FeeCalc!F:F,0)),0)</f>
        <v>50840.052127374314</v>
      </c>
      <c r="AP332" s="87">
        <f t="shared" si="142"/>
        <v>874116.07030238502</v>
      </c>
      <c r="AQ332" s="72">
        <f t="shared" si="143"/>
        <v>370915.42034355173</v>
      </c>
      <c r="AR332" s="72">
        <f t="shared" si="144"/>
        <v>185457.71017177586</v>
      </c>
      <c r="AS332" s="72">
        <f t="shared" si="145"/>
        <v>185457.71017177586</v>
      </c>
      <c r="AT332" s="72">
        <f>IFERROR(IFERROR(INDEX('2023 IP UPL Data'!L:L,MATCH(A:A,'2023 IP UPL Data'!B:B,0)),INDEX('2023 IMD UPL Data'!I:I,MATCH(A:A,'2023 IMD UPL Data'!B:B,0))),0)</f>
        <v>1380703.0905733937</v>
      </c>
      <c r="AU332" s="72">
        <f>IFERROR(IF(F330="IMD",0,INDEX('2023 OP UPL Data'!J:J,MATCH(A:A,'2023 OP UPL Data'!B:B,0))),0)</f>
        <v>772931.68136054417</v>
      </c>
      <c r="AV332" s="45">
        <f t="shared" si="146"/>
        <v>2153634.7719339379</v>
      </c>
      <c r="AW332" s="72">
        <f>IFERROR(IFERROR(INDEX('2023 IP UPL Data'!M:M,MATCH(A:A,'2023 IP UPL Data'!B:B,0)),INDEX('2023 IMD UPL Data'!K:K,MATCH(A:A,'2023 IMD UPL Data'!B:B,0))),0)</f>
        <v>941808.23</v>
      </c>
      <c r="AX332" s="72">
        <f>IFERROR(IF(F330="IMD",0,INDEX('2023 OP UPL Data'!L:L,MATCH(A:A,'2023 OP UPL Data'!B:B,0))),0)</f>
        <v>1300336.6100000001</v>
      </c>
      <c r="AY332" s="45">
        <f t="shared" si="147"/>
        <v>2242144.84</v>
      </c>
      <c r="AZ332" s="72">
        <v>1202816.1810988118</v>
      </c>
      <c r="BA332" s="72">
        <v>1721121.3268668053</v>
      </c>
      <c r="BB332" s="72">
        <f t="shared" si="148"/>
        <v>1202816.1810988118</v>
      </c>
      <c r="BC332" s="72">
        <f t="shared" si="148"/>
        <v>1138804.1432796028</v>
      </c>
      <c r="BD332" s="72">
        <f t="shared" si="149"/>
        <v>2341620.3243784141</v>
      </c>
      <c r="BE332" s="94">
        <f t="shared" si="150"/>
        <v>261007.95109881181</v>
      </c>
      <c r="BF332" s="94">
        <f t="shared" si="150"/>
        <v>420784.71686680522</v>
      </c>
      <c r="BG332" s="73">
        <f>IFERROR(INDEX('2023 IP UPL Data'!K:K,MATCH(A332,'2023 IP UPL Data'!B:B,0)),0)</f>
        <v>0</v>
      </c>
    </row>
    <row r="333" spans="1:59">
      <c r="A333" s="124" t="s">
        <v>819</v>
      </c>
      <c r="B333" s="149" t="s">
        <v>819</v>
      </c>
      <c r="C333" s="31" t="s">
        <v>820</v>
      </c>
      <c r="D333" s="181" t="s">
        <v>820</v>
      </c>
      <c r="E333" s="144" t="s">
        <v>3104</v>
      </c>
      <c r="F333" s="120" t="s">
        <v>2768</v>
      </c>
      <c r="G333" s="120" t="s">
        <v>227</v>
      </c>
      <c r="H333" s="43" t="str">
        <f t="shared" si="130"/>
        <v>Rural MRSA West</v>
      </c>
      <c r="I333" s="45">
        <f>INDEX(FeeCalc!M:M,MATCH(C:C,FeeCalc!F:F,0))</f>
        <v>198343.47838537561</v>
      </c>
      <c r="J333" s="45">
        <f>INDEX(FeeCalc!L:L,MATCH(C:C,FeeCalc!F:F,0))</f>
        <v>557375.20761327958</v>
      </c>
      <c r="K333" s="45">
        <f t="shared" si="131"/>
        <v>755718.68599865516</v>
      </c>
      <c r="L333" s="45">
        <f>IFERROR(IFERROR(INDEX('2023 IP UPL Data'!N:N,MATCH(A:A,'2023 IP UPL Data'!B:B,0)),INDEX('2023 IMD UPL Data'!M:M,MATCH(A:A,'2023 IMD UPL Data'!B:B,0))),0)</f>
        <v>1771.8522957950045</v>
      </c>
      <c r="M333" s="45">
        <f>IFERROR((IF(F333="IMD",0,INDEX('2023 OP UPL Data'!M:M,MATCH(A:A,'2023 OP UPL Data'!B:B,0)))),0)</f>
        <v>468402.19124999997</v>
      </c>
      <c r="N333" s="45">
        <f t="shared" si="132"/>
        <v>470174.04354579496</v>
      </c>
      <c r="O333" s="45">
        <v>-3386.0384147531968</v>
      </c>
      <c r="P333" s="45">
        <v>18606.354652724258</v>
      </c>
      <c r="Q333" s="45">
        <f t="shared" si="133"/>
        <v>15220.316237971061</v>
      </c>
      <c r="R333" s="45" t="str">
        <f t="shared" si="134"/>
        <v>No</v>
      </c>
      <c r="S333" s="46" t="str">
        <f t="shared" si="134"/>
        <v>Yes</v>
      </c>
      <c r="T333" s="47">
        <f>ROUND(INDEX(Summary!H:H,MATCH(H:H,Summary!A:A,0)),2)</f>
        <v>0</v>
      </c>
      <c r="U333" s="47">
        <f>ROUND(INDEX(Summary!I:I,MATCH(H:H,Summary!A:A,0)),2)</f>
        <v>0.28999999999999998</v>
      </c>
      <c r="V333" s="85">
        <f t="shared" si="135"/>
        <v>0</v>
      </c>
      <c r="W333" s="85">
        <f t="shared" si="135"/>
        <v>161638.81020785106</v>
      </c>
      <c r="X333" s="45">
        <f t="shared" si="136"/>
        <v>161638.81020785106</v>
      </c>
      <c r="Y333" s="45" t="s">
        <v>3224</v>
      </c>
      <c r="Z333" s="45" t="str">
        <f t="shared" si="137"/>
        <v>No</v>
      </c>
      <c r="AA333" s="45" t="str">
        <f t="shared" si="137"/>
        <v>No</v>
      </c>
      <c r="AB333" s="45" t="str">
        <f t="shared" si="138"/>
        <v>No</v>
      </c>
      <c r="AC333" s="86">
        <f t="shared" si="151"/>
        <v>0</v>
      </c>
      <c r="AD333" s="86">
        <f t="shared" si="152"/>
        <v>0</v>
      </c>
      <c r="AE333" s="45">
        <f t="shared" si="153"/>
        <v>0</v>
      </c>
      <c r="AF333" s="45">
        <f t="shared" si="153"/>
        <v>0</v>
      </c>
      <c r="AG333" s="45">
        <f t="shared" si="139"/>
        <v>0</v>
      </c>
      <c r="AH333" s="47">
        <f>IF(Y333="No",0,IFERROR(ROUNDDOWN(INDEX('90% of ACR'!K:K,MATCH(H:H,'90% of ACR'!A:A,0))*IF(I333&gt;0,IF(O333&gt;0,$R$4*MAX(O333-V333,0),0),0)/I333,2),0))</f>
        <v>0</v>
      </c>
      <c r="AI333" s="86">
        <f>IF(Y333="No",0,IFERROR(ROUNDDOWN(INDEX('90% of ACR'!R:R,MATCH(H:H,'90% of ACR'!A:A,0))*IF(J333&gt;0,IF(P333&gt;0,$R$4*MAX(P333-W333,0),0),0)/J333,2),0))</f>
        <v>0</v>
      </c>
      <c r="AJ333" s="45">
        <f t="shared" si="140"/>
        <v>0</v>
      </c>
      <c r="AK333" s="45">
        <f t="shared" si="140"/>
        <v>0</v>
      </c>
      <c r="AL333" s="47">
        <f t="shared" si="141"/>
        <v>0</v>
      </c>
      <c r="AM333" s="47">
        <f t="shared" si="141"/>
        <v>0.28999999999999998</v>
      </c>
      <c r="AN333" s="87">
        <f>IFERROR(INDEX(FeeCalc!P:P,MATCH(C333,FeeCalc!F:F,0)),0)</f>
        <v>161638.81020785106</v>
      </c>
      <c r="AO333" s="87">
        <f>IFERROR(INDEX(FeeCalc!S:S,MATCH(C333,FeeCalc!F:F,0)),0)</f>
        <v>9984.379374460832</v>
      </c>
      <c r="AP333" s="87">
        <f t="shared" si="142"/>
        <v>171623.1895823119</v>
      </c>
      <c r="AQ333" s="72">
        <f t="shared" si="143"/>
        <v>72825.211281841592</v>
      </c>
      <c r="AR333" s="72">
        <f t="shared" si="144"/>
        <v>36412.605640920796</v>
      </c>
      <c r="AS333" s="72">
        <f t="shared" si="145"/>
        <v>36412.605640920796</v>
      </c>
      <c r="AT333" s="72">
        <f>IFERROR(IFERROR(INDEX('2023 IP UPL Data'!L:L,MATCH(A:A,'2023 IP UPL Data'!B:B,0)),INDEX('2023 IMD UPL Data'!I:I,MATCH(A:A,'2023 IMD UPL Data'!B:B,0))),0)</f>
        <v>12263.017704204996</v>
      </c>
      <c r="AU333" s="72">
        <f>IFERROR(IF(F331="IMD",0,INDEX('2023 OP UPL Data'!J:J,MATCH(A:A,'2023 OP UPL Data'!B:B,0))),0)</f>
        <v>173791.01874999999</v>
      </c>
      <c r="AV333" s="45">
        <f t="shared" si="146"/>
        <v>186054.03645420499</v>
      </c>
      <c r="AW333" s="72">
        <f>IFERROR(IFERROR(INDEX('2023 IP UPL Data'!M:M,MATCH(A:A,'2023 IP UPL Data'!B:B,0)),INDEX('2023 IMD UPL Data'!K:K,MATCH(A:A,'2023 IMD UPL Data'!B:B,0))),0)</f>
        <v>14034.87</v>
      </c>
      <c r="AX333" s="72">
        <f>IFERROR(IF(F331="IMD",0,INDEX('2023 OP UPL Data'!L:L,MATCH(A:A,'2023 OP UPL Data'!B:B,0))),0)</f>
        <v>642193.21</v>
      </c>
      <c r="AY333" s="45">
        <f t="shared" si="147"/>
        <v>656228.07999999996</v>
      </c>
      <c r="AZ333" s="72">
        <v>8876.9792894517996</v>
      </c>
      <c r="BA333" s="72">
        <v>192397.37340272425</v>
      </c>
      <c r="BB333" s="72">
        <f t="shared" si="148"/>
        <v>8876.9792894517996</v>
      </c>
      <c r="BC333" s="72">
        <f t="shared" si="148"/>
        <v>30758.56319487319</v>
      </c>
      <c r="BD333" s="72">
        <f t="shared" si="149"/>
        <v>39635.542484324978</v>
      </c>
      <c r="BE333" s="94">
        <f t="shared" si="150"/>
        <v>0</v>
      </c>
      <c r="BF333" s="94">
        <f t="shared" si="150"/>
        <v>0</v>
      </c>
      <c r="BG333" s="73">
        <f>IFERROR(INDEX('2023 IP UPL Data'!K:K,MATCH(A333,'2023 IP UPL Data'!B:B,0)),0)</f>
        <v>0</v>
      </c>
    </row>
    <row r="334" spans="1:59">
      <c r="A334" s="124" t="s">
        <v>732</v>
      </c>
      <c r="B334" s="149" t="s">
        <v>732</v>
      </c>
      <c r="C334" s="31" t="s">
        <v>733</v>
      </c>
      <c r="D334" s="181" t="s">
        <v>733</v>
      </c>
      <c r="E334" s="144" t="s">
        <v>3565</v>
      </c>
      <c r="F334" s="120" t="s">
        <v>2768</v>
      </c>
      <c r="G334" s="120" t="s">
        <v>227</v>
      </c>
      <c r="H334" s="43" t="str">
        <f t="shared" si="130"/>
        <v>Rural MRSA West</v>
      </c>
      <c r="I334" s="45">
        <f>INDEX(FeeCalc!M:M,MATCH(C:C,FeeCalc!F:F,0))</f>
        <v>22858.780518730531</v>
      </c>
      <c r="J334" s="45">
        <f>INDEX(FeeCalc!L:L,MATCH(C:C,FeeCalc!F:F,0))</f>
        <v>232734.83100336354</v>
      </c>
      <c r="K334" s="45">
        <f t="shared" si="131"/>
        <v>255593.61152209406</v>
      </c>
      <c r="L334" s="45">
        <f>IFERROR(IFERROR(INDEX('2023 IP UPL Data'!N:N,MATCH(A:A,'2023 IP UPL Data'!B:B,0)),INDEX('2023 IMD UPL Data'!M:M,MATCH(A:A,'2023 IMD UPL Data'!B:B,0))),0)</f>
        <v>824.89734823866092</v>
      </c>
      <c r="M334" s="45">
        <f>IFERROR((IF(F334="IMD",0,INDEX('2023 OP UPL Data'!M:M,MATCH(A:A,'2023 OP UPL Data'!B:B,0)))),0)</f>
        <v>68583.010750000001</v>
      </c>
      <c r="N334" s="45">
        <f t="shared" si="132"/>
        <v>69407.908098238666</v>
      </c>
      <c r="O334" s="45">
        <v>1055.2701826171906</v>
      </c>
      <c r="P334" s="45">
        <v>63050.370840093339</v>
      </c>
      <c r="Q334" s="45">
        <f t="shared" si="133"/>
        <v>64105.64102271053</v>
      </c>
      <c r="R334" s="45" t="str">
        <f t="shared" si="134"/>
        <v>Yes</v>
      </c>
      <c r="S334" s="46" t="str">
        <f t="shared" si="134"/>
        <v>Yes</v>
      </c>
      <c r="T334" s="47">
        <f>ROUND(INDEX(Summary!H:H,MATCH(H:H,Summary!A:A,0)),2)</f>
        <v>0</v>
      </c>
      <c r="U334" s="47">
        <f>ROUND(INDEX(Summary!I:I,MATCH(H:H,Summary!A:A,0)),2)</f>
        <v>0.28999999999999998</v>
      </c>
      <c r="V334" s="85">
        <f t="shared" si="135"/>
        <v>0</v>
      </c>
      <c r="W334" s="85">
        <f t="shared" si="135"/>
        <v>67493.100990975421</v>
      </c>
      <c r="X334" s="45">
        <f t="shared" si="136"/>
        <v>67493.100990975421</v>
      </c>
      <c r="Y334" s="45" t="s">
        <v>3224</v>
      </c>
      <c r="Z334" s="45" t="str">
        <f t="shared" si="137"/>
        <v>No</v>
      </c>
      <c r="AA334" s="45" t="str">
        <f t="shared" si="137"/>
        <v>No</v>
      </c>
      <c r="AB334" s="45" t="str">
        <f t="shared" si="138"/>
        <v>No</v>
      </c>
      <c r="AC334" s="86">
        <f t="shared" si="151"/>
        <v>0</v>
      </c>
      <c r="AD334" s="86">
        <f t="shared" si="152"/>
        <v>0</v>
      </c>
      <c r="AE334" s="45">
        <f t="shared" si="153"/>
        <v>0</v>
      </c>
      <c r="AF334" s="45">
        <f t="shared" si="153"/>
        <v>0</v>
      </c>
      <c r="AG334" s="45">
        <f t="shared" si="139"/>
        <v>0</v>
      </c>
      <c r="AH334" s="47">
        <f>IF(Y334="No",0,IFERROR(ROUNDDOWN(INDEX('90% of ACR'!K:K,MATCH(H:H,'90% of ACR'!A:A,0))*IF(I334&gt;0,IF(O334&gt;0,$R$4*MAX(O334-V334,0),0),0)/I334,2),0))</f>
        <v>0</v>
      </c>
      <c r="AI334" s="86">
        <f>IF(Y334="No",0,IFERROR(ROUNDDOWN(INDEX('90% of ACR'!R:R,MATCH(H:H,'90% of ACR'!A:A,0))*IF(J334&gt;0,IF(P334&gt;0,$R$4*MAX(P334-W334,0),0),0)/J334,2),0))</f>
        <v>0</v>
      </c>
      <c r="AJ334" s="45">
        <f t="shared" si="140"/>
        <v>0</v>
      </c>
      <c r="AK334" s="45">
        <f t="shared" si="140"/>
        <v>0</v>
      </c>
      <c r="AL334" s="47">
        <f t="shared" si="141"/>
        <v>0</v>
      </c>
      <c r="AM334" s="47">
        <f t="shared" si="141"/>
        <v>0.28999999999999998</v>
      </c>
      <c r="AN334" s="87">
        <f>IFERROR(INDEX(FeeCalc!P:P,MATCH(C334,FeeCalc!F:F,0)),0)</f>
        <v>67493.100990975421</v>
      </c>
      <c r="AO334" s="87">
        <f>IFERROR(INDEX(FeeCalc!S:S,MATCH(C334,FeeCalc!F:F,0)),0)</f>
        <v>4126.1813068296988</v>
      </c>
      <c r="AP334" s="87">
        <f t="shared" si="142"/>
        <v>71619.282297805126</v>
      </c>
      <c r="AQ334" s="72">
        <f t="shared" si="143"/>
        <v>30390.353295992249</v>
      </c>
      <c r="AR334" s="72">
        <f t="shared" si="144"/>
        <v>15195.176647996124</v>
      </c>
      <c r="AS334" s="72">
        <f t="shared" si="145"/>
        <v>15195.176647996124</v>
      </c>
      <c r="AT334" s="72">
        <f>IFERROR(IFERROR(INDEX('2023 IP UPL Data'!L:L,MATCH(A:A,'2023 IP UPL Data'!B:B,0)),INDEX('2023 IMD UPL Data'!I:I,MATCH(A:A,'2023 IMD UPL Data'!B:B,0))),0)</f>
        <v>17485.042651761338</v>
      </c>
      <c r="AU334" s="72">
        <f>IFERROR(IF(F332="IMD",0,INDEX('2023 OP UPL Data'!J:J,MATCH(A:A,'2023 OP UPL Data'!B:B,0))),0)</f>
        <v>34095.249249999993</v>
      </c>
      <c r="AV334" s="45">
        <f t="shared" si="146"/>
        <v>51580.291901761331</v>
      </c>
      <c r="AW334" s="72">
        <f>IFERROR(IFERROR(INDEX('2023 IP UPL Data'!M:M,MATCH(A:A,'2023 IP UPL Data'!B:B,0)),INDEX('2023 IMD UPL Data'!K:K,MATCH(A:A,'2023 IMD UPL Data'!B:B,0))),0)</f>
        <v>18309.939999999999</v>
      </c>
      <c r="AX334" s="72">
        <f>IFERROR(IF(F332="IMD",0,INDEX('2023 OP UPL Data'!L:L,MATCH(A:A,'2023 OP UPL Data'!B:B,0))),0)</f>
        <v>102678.26</v>
      </c>
      <c r="AY334" s="45">
        <f t="shared" si="147"/>
        <v>120988.2</v>
      </c>
      <c r="AZ334" s="72">
        <v>18540.312834378528</v>
      </c>
      <c r="BA334" s="72">
        <v>97145.620090093333</v>
      </c>
      <c r="BB334" s="72">
        <f t="shared" si="148"/>
        <v>18540.312834378528</v>
      </c>
      <c r="BC334" s="72">
        <f t="shared" si="148"/>
        <v>29652.519099117912</v>
      </c>
      <c r="BD334" s="72">
        <f t="shared" si="149"/>
        <v>48192.831933496433</v>
      </c>
      <c r="BE334" s="94">
        <f t="shared" si="150"/>
        <v>230.37283437852966</v>
      </c>
      <c r="BF334" s="94">
        <f t="shared" si="150"/>
        <v>0</v>
      </c>
      <c r="BG334" s="73">
        <f>IFERROR(INDEX('2023 IP UPL Data'!K:K,MATCH(A334,'2023 IP UPL Data'!B:B,0)),0)</f>
        <v>0</v>
      </c>
    </row>
    <row r="335" spans="1:59">
      <c r="A335" s="124" t="s">
        <v>1479</v>
      </c>
      <c r="B335" s="149" t="s">
        <v>1479</v>
      </c>
      <c r="C335" s="31" t="s">
        <v>1480</v>
      </c>
      <c r="D335" s="181" t="s">
        <v>1480</v>
      </c>
      <c r="E335" s="144" t="s">
        <v>3566</v>
      </c>
      <c r="F335" s="120" t="s">
        <v>2768</v>
      </c>
      <c r="G335" s="120" t="s">
        <v>310</v>
      </c>
      <c r="H335" s="43" t="str">
        <f t="shared" si="130"/>
        <v>Rural MRSA Northeast</v>
      </c>
      <c r="I335" s="45">
        <f>INDEX(FeeCalc!M:M,MATCH(C:C,FeeCalc!F:F,0))</f>
        <v>69225.273933302815</v>
      </c>
      <c r="J335" s="45">
        <f>INDEX(FeeCalc!L:L,MATCH(C:C,FeeCalc!F:F,0))</f>
        <v>841422.57655497536</v>
      </c>
      <c r="K335" s="45">
        <f t="shared" si="131"/>
        <v>910647.8504882782</v>
      </c>
      <c r="L335" s="45">
        <f>IFERROR(IFERROR(INDEX('2023 IP UPL Data'!N:N,MATCH(A:A,'2023 IP UPL Data'!B:B,0)),INDEX('2023 IMD UPL Data'!M:M,MATCH(A:A,'2023 IMD UPL Data'!B:B,0))),0)</f>
        <v>79953.187300802208</v>
      </c>
      <c r="M335" s="45">
        <f>IFERROR((IF(F335="IMD",0,INDEX('2023 OP UPL Data'!M:M,MATCH(A:A,'2023 OP UPL Data'!B:B,0)))),0)</f>
        <v>-795733.80805031466</v>
      </c>
      <c r="N335" s="45">
        <f t="shared" si="132"/>
        <v>-715780.62074951245</v>
      </c>
      <c r="O335" s="45">
        <v>14332.181230847149</v>
      </c>
      <c r="P335" s="45">
        <v>677658.39104928076</v>
      </c>
      <c r="Q335" s="45">
        <f t="shared" si="133"/>
        <v>691990.5722801279</v>
      </c>
      <c r="R335" s="45" t="str">
        <f t="shared" si="134"/>
        <v>Yes</v>
      </c>
      <c r="S335" s="46" t="str">
        <f t="shared" si="134"/>
        <v>Yes</v>
      </c>
      <c r="T335" s="47">
        <f>ROUND(INDEX(Summary!H:H,MATCH(H:H,Summary!A:A,0)),2)</f>
        <v>0.16</v>
      </c>
      <c r="U335" s="47">
        <f>ROUND(INDEX(Summary!I:I,MATCH(H:H,Summary!A:A,0)),2)</f>
        <v>0.42</v>
      </c>
      <c r="V335" s="85">
        <f t="shared" si="135"/>
        <v>11076.043829328451</v>
      </c>
      <c r="W335" s="85">
        <f t="shared" si="135"/>
        <v>353397.48215308966</v>
      </c>
      <c r="X335" s="45">
        <f t="shared" si="136"/>
        <v>364473.5259824181</v>
      </c>
      <c r="Y335" s="45" t="s">
        <v>3223</v>
      </c>
      <c r="Z335" s="45" t="str">
        <f t="shared" si="137"/>
        <v>Yes</v>
      </c>
      <c r="AA335" s="45" t="str">
        <f t="shared" si="137"/>
        <v>Yes</v>
      </c>
      <c r="AB335" s="45" t="str">
        <f t="shared" si="138"/>
        <v>Yes</v>
      </c>
      <c r="AC335" s="86">
        <f t="shared" si="151"/>
        <v>0.03</v>
      </c>
      <c r="AD335" s="86">
        <f t="shared" si="152"/>
        <v>0.27</v>
      </c>
      <c r="AE335" s="45">
        <f t="shared" si="153"/>
        <v>2076.7582179990845</v>
      </c>
      <c r="AF335" s="45">
        <f t="shared" si="153"/>
        <v>227184.09566984337</v>
      </c>
      <c r="AG335" s="45">
        <f t="shared" si="139"/>
        <v>229260.85388784244</v>
      </c>
      <c r="AH335" s="47">
        <f>IF(Y335="No",0,IFERROR(ROUNDDOWN(INDEX('90% of ACR'!K:K,MATCH(H:H,'90% of ACR'!A:A,0))*IF(I335&gt;0,IF(O335&gt;0,$R$4*MAX(O335-V335,0),0),0)/I335,2),0))</f>
        <v>0.01</v>
      </c>
      <c r="AI335" s="86">
        <f>IF(Y335="No",0,IFERROR(ROUNDDOWN(INDEX('90% of ACR'!R:R,MATCH(H:H,'90% of ACR'!A:A,0))*IF(J335&gt;0,IF(P335&gt;0,$R$4*MAX(P335-W335,0),0),0)/J335,2),0))</f>
        <v>0.26</v>
      </c>
      <c r="AJ335" s="45">
        <f t="shared" si="140"/>
        <v>692.25273933302822</v>
      </c>
      <c r="AK335" s="45">
        <f t="shared" si="140"/>
        <v>218769.86990429359</v>
      </c>
      <c r="AL335" s="47">
        <f t="shared" si="141"/>
        <v>0.17</v>
      </c>
      <c r="AM335" s="47">
        <f t="shared" si="141"/>
        <v>0.67999999999999994</v>
      </c>
      <c r="AN335" s="87">
        <f>IFERROR(INDEX(FeeCalc!P:P,MATCH(C335,FeeCalc!F:F,0)),0)</f>
        <v>583935.64862604463</v>
      </c>
      <c r="AO335" s="87">
        <f>IFERROR(INDEX(FeeCalc!S:S,MATCH(C335,FeeCalc!F:F,0)),0)</f>
        <v>36031.320363634863</v>
      </c>
      <c r="AP335" s="87">
        <f t="shared" si="142"/>
        <v>619966.96898967947</v>
      </c>
      <c r="AQ335" s="72">
        <f t="shared" si="143"/>
        <v>263071.82388532872</v>
      </c>
      <c r="AR335" s="72">
        <f t="shared" si="144"/>
        <v>131535.91194266436</v>
      </c>
      <c r="AS335" s="72">
        <f t="shared" si="145"/>
        <v>131535.91194266436</v>
      </c>
      <c r="AT335" s="72">
        <f>IFERROR(IFERROR(INDEX('2023 IP UPL Data'!L:L,MATCH(A:A,'2023 IP UPL Data'!B:B,0)),INDEX('2023 IMD UPL Data'!I:I,MATCH(A:A,'2023 IMD UPL Data'!B:B,0))),0)</f>
        <v>44251.222699197795</v>
      </c>
      <c r="AU335" s="72">
        <f>IFERROR(IF(F333="IMD",0,INDEX('2023 OP UPL Data'!J:J,MATCH(A:A,'2023 OP UPL Data'!B:B,0))),0)</f>
        <v>947728.36805031472</v>
      </c>
      <c r="AV335" s="45">
        <f t="shared" si="146"/>
        <v>991979.59074951254</v>
      </c>
      <c r="AW335" s="72">
        <f>IFERROR(IFERROR(INDEX('2023 IP UPL Data'!M:M,MATCH(A:A,'2023 IP UPL Data'!B:B,0)),INDEX('2023 IMD UPL Data'!K:K,MATCH(A:A,'2023 IMD UPL Data'!B:B,0))),0)</f>
        <v>124204.41</v>
      </c>
      <c r="AX335" s="72">
        <f>IFERROR(IF(F333="IMD",0,INDEX('2023 OP UPL Data'!L:L,MATCH(A:A,'2023 OP UPL Data'!B:B,0))),0)</f>
        <v>151994.56</v>
      </c>
      <c r="AY335" s="45">
        <f t="shared" si="147"/>
        <v>276198.96999999997</v>
      </c>
      <c r="AZ335" s="72">
        <v>58583.403930044944</v>
      </c>
      <c r="BA335" s="72">
        <v>1625386.7590995955</v>
      </c>
      <c r="BB335" s="72">
        <f t="shared" si="148"/>
        <v>47507.360100716491</v>
      </c>
      <c r="BC335" s="72">
        <f t="shared" si="148"/>
        <v>1271989.2769465058</v>
      </c>
      <c r="BD335" s="72">
        <f t="shared" si="149"/>
        <v>1319496.6370472223</v>
      </c>
      <c r="BE335" s="94">
        <f t="shared" si="150"/>
        <v>0</v>
      </c>
      <c r="BF335" s="94">
        <f t="shared" si="150"/>
        <v>1473392.1990995954</v>
      </c>
      <c r="BG335" s="73">
        <f>IFERROR(INDEX('2023 IP UPL Data'!K:K,MATCH(A335,'2023 IP UPL Data'!B:B,0)),0)</f>
        <v>0</v>
      </c>
    </row>
    <row r="336" spans="1:59">
      <c r="A336" s="124" t="s">
        <v>1564</v>
      </c>
      <c r="B336" s="149" t="s">
        <v>1564</v>
      </c>
      <c r="C336" s="31" t="s">
        <v>1673</v>
      </c>
      <c r="D336" s="181" t="s">
        <v>1673</v>
      </c>
      <c r="E336" s="144" t="s">
        <v>3567</v>
      </c>
      <c r="F336" s="120" t="s">
        <v>2718</v>
      </c>
      <c r="G336" s="120" t="s">
        <v>1189</v>
      </c>
      <c r="H336" s="43" t="str">
        <f t="shared" si="130"/>
        <v>Urban El Paso</v>
      </c>
      <c r="I336" s="45">
        <f>INDEX(FeeCalc!M:M,MATCH(C:C,FeeCalc!F:F,0))</f>
        <v>10424679.341111228</v>
      </c>
      <c r="J336" s="45">
        <f>INDEX(FeeCalc!L:L,MATCH(C:C,FeeCalc!F:F,0))</f>
        <v>6104136.51466385</v>
      </c>
      <c r="K336" s="45">
        <f t="shared" si="131"/>
        <v>16528815.855775077</v>
      </c>
      <c r="L336" s="45">
        <f>IFERROR(IFERROR(INDEX('2023 IP UPL Data'!N:N,MATCH(A:A,'2023 IP UPL Data'!B:B,0)),INDEX('2023 IMD UPL Data'!M:M,MATCH(A:A,'2023 IMD UPL Data'!B:B,0))),0)</f>
        <v>8654492.8988050297</v>
      </c>
      <c r="M336" s="45">
        <f>IFERROR((IF(F336="IMD",0,INDEX('2023 OP UPL Data'!M:M,MATCH(A:A,'2023 OP UPL Data'!B:B,0)))),0)</f>
        <v>6042959.2688679229</v>
      </c>
      <c r="N336" s="45">
        <f t="shared" si="132"/>
        <v>14697452.167672953</v>
      </c>
      <c r="O336" s="45">
        <v>45869891.464781299</v>
      </c>
      <c r="P336" s="45">
        <v>13460340.678698285</v>
      </c>
      <c r="Q336" s="45">
        <f t="shared" si="133"/>
        <v>59330232.143479586</v>
      </c>
      <c r="R336" s="45" t="str">
        <f t="shared" si="134"/>
        <v>Yes</v>
      </c>
      <c r="S336" s="46" t="str">
        <f t="shared" si="134"/>
        <v>Yes</v>
      </c>
      <c r="T336" s="47">
        <f>ROUND(INDEX(Summary!H:H,MATCH(H:H,Summary!A:A,0)),2)</f>
        <v>0.48</v>
      </c>
      <c r="U336" s="47">
        <f>ROUND(INDEX(Summary!I:I,MATCH(H:H,Summary!A:A,0)),2)</f>
        <v>0.92</v>
      </c>
      <c r="V336" s="85">
        <f t="shared" si="135"/>
        <v>5003846.0837333892</v>
      </c>
      <c r="W336" s="85">
        <f t="shared" si="135"/>
        <v>5615805.5934907421</v>
      </c>
      <c r="X336" s="45">
        <f t="shared" si="136"/>
        <v>10619651.677224131</v>
      </c>
      <c r="Y336" s="45" t="s">
        <v>3223</v>
      </c>
      <c r="Z336" s="45" t="str">
        <f t="shared" si="137"/>
        <v>Yes</v>
      </c>
      <c r="AA336" s="45" t="str">
        <f t="shared" si="137"/>
        <v>Yes</v>
      </c>
      <c r="AB336" s="45" t="str">
        <f t="shared" si="138"/>
        <v>Yes</v>
      </c>
      <c r="AC336" s="86">
        <f t="shared" si="151"/>
        <v>2.73</v>
      </c>
      <c r="AD336" s="86">
        <f t="shared" si="152"/>
        <v>0.9</v>
      </c>
      <c r="AE336" s="45">
        <f t="shared" si="153"/>
        <v>28459374.601233654</v>
      </c>
      <c r="AF336" s="45">
        <f t="shared" si="153"/>
        <v>5493722.8631974654</v>
      </c>
      <c r="AG336" s="45">
        <f t="shared" si="139"/>
        <v>33953097.464431122</v>
      </c>
      <c r="AH336" s="47">
        <f>IF(Y336="No",0,IFERROR(ROUNDDOWN(INDEX('90% of ACR'!K:K,MATCH(H:H,'90% of ACR'!A:A,0))*IF(I336&gt;0,IF(O336&gt;0,$R$4*MAX(O336-V336,0),0),0)/I336,2),0))</f>
        <v>2.33</v>
      </c>
      <c r="AI336" s="86">
        <f>IF(Y336="No",0,IFERROR(ROUNDDOWN(INDEX('90% of ACR'!R:R,MATCH(H:H,'90% of ACR'!A:A,0))*IF(J336&gt;0,IF(P336&gt;0,$R$4*MAX(P336-W336,0),0),0)/J336,2),0))</f>
        <v>0.89</v>
      </c>
      <c r="AJ336" s="45">
        <f t="shared" si="140"/>
        <v>24289502.864789162</v>
      </c>
      <c r="AK336" s="45">
        <f t="shared" si="140"/>
        <v>5432681.4980508266</v>
      </c>
      <c r="AL336" s="47">
        <f t="shared" si="141"/>
        <v>2.81</v>
      </c>
      <c r="AM336" s="47">
        <f t="shared" si="141"/>
        <v>1.81</v>
      </c>
      <c r="AN336" s="87">
        <f>IFERROR(INDEX(FeeCalc!P:P,MATCH(C336,FeeCalc!F:F,0)),0)</f>
        <v>40341836.040064119</v>
      </c>
      <c r="AO336" s="87">
        <f>IFERROR(INDEX(FeeCalc!S:S,MATCH(C336,FeeCalc!F:F,0)),0)</f>
        <v>2477479.0250604679</v>
      </c>
      <c r="AP336" s="87">
        <f t="shared" si="142"/>
        <v>42819315.065124586</v>
      </c>
      <c r="AQ336" s="72">
        <f t="shared" si="143"/>
        <v>18169605.600214448</v>
      </c>
      <c r="AR336" s="72">
        <f t="shared" si="144"/>
        <v>9084802.8001072239</v>
      </c>
      <c r="AS336" s="72">
        <f t="shared" si="145"/>
        <v>9084802.8001072239</v>
      </c>
      <c r="AT336" s="72">
        <f>IFERROR(IFERROR(INDEX('2023 IP UPL Data'!L:L,MATCH(A:A,'2023 IP UPL Data'!B:B,0)),INDEX('2023 IMD UPL Data'!I:I,MATCH(A:A,'2023 IMD UPL Data'!B:B,0))),0)</f>
        <v>11467418.591194969</v>
      </c>
      <c r="AU336" s="72">
        <f>IFERROR(IF(F334="IMD",0,INDEX('2023 OP UPL Data'!J:J,MATCH(A:A,'2023 OP UPL Data'!B:B,0))),0)</f>
        <v>3997136.9811320766</v>
      </c>
      <c r="AV336" s="45">
        <f t="shared" si="146"/>
        <v>15464555.572327046</v>
      </c>
      <c r="AW336" s="72">
        <f>IFERROR(IFERROR(INDEX('2023 IP UPL Data'!M:M,MATCH(A:A,'2023 IP UPL Data'!B:B,0)),INDEX('2023 IMD UPL Data'!K:K,MATCH(A:A,'2023 IMD UPL Data'!B:B,0))),0)</f>
        <v>20121911.489999998</v>
      </c>
      <c r="AX336" s="72">
        <f>IFERROR(IF(F334="IMD",0,INDEX('2023 OP UPL Data'!L:L,MATCH(A:A,'2023 OP UPL Data'!B:B,0))),0)</f>
        <v>10040096.25</v>
      </c>
      <c r="AY336" s="45">
        <f t="shared" si="147"/>
        <v>30162007.739999998</v>
      </c>
      <c r="AZ336" s="72">
        <v>57337310.055976264</v>
      </c>
      <c r="BA336" s="72">
        <v>17457477.659830362</v>
      </c>
      <c r="BB336" s="72">
        <f t="shared" si="148"/>
        <v>52333463.972242877</v>
      </c>
      <c r="BC336" s="72">
        <f t="shared" si="148"/>
        <v>11841672.066339619</v>
      </c>
      <c r="BD336" s="72">
        <f t="shared" si="149"/>
        <v>64175136.038582504</v>
      </c>
      <c r="BE336" s="94">
        <f t="shared" si="150"/>
        <v>37215398.565976262</v>
      </c>
      <c r="BF336" s="94">
        <f t="shared" si="150"/>
        <v>7417381.4098303616</v>
      </c>
      <c r="BG336" s="73">
        <f>IFERROR(INDEX('2023 IP UPL Data'!K:K,MATCH(A336,'2023 IP UPL Data'!B:B,0)),0)</f>
        <v>0</v>
      </c>
    </row>
    <row r="337" spans="1:59">
      <c r="A337" s="124" t="s">
        <v>674</v>
      </c>
      <c r="B337" s="149" t="s">
        <v>674</v>
      </c>
      <c r="C337" s="31" t="s">
        <v>675</v>
      </c>
      <c r="D337" s="181" t="s">
        <v>675</v>
      </c>
      <c r="E337" s="144" t="s">
        <v>3379</v>
      </c>
      <c r="F337" s="120" t="s">
        <v>2768</v>
      </c>
      <c r="G337" s="120" t="s">
        <v>227</v>
      </c>
      <c r="H337" s="43" t="str">
        <f t="shared" si="130"/>
        <v>Rural MRSA West</v>
      </c>
      <c r="I337" s="45">
        <f>INDEX(FeeCalc!M:M,MATCH(C:C,FeeCalc!F:F,0))</f>
        <v>21505.30853529289</v>
      </c>
      <c r="J337" s="45">
        <f>INDEX(FeeCalc!L:L,MATCH(C:C,FeeCalc!F:F,0))</f>
        <v>292002.73106384923</v>
      </c>
      <c r="K337" s="45">
        <f t="shared" si="131"/>
        <v>313508.03959914215</v>
      </c>
      <c r="L337" s="45">
        <f>IFERROR(IFERROR(INDEX('2023 IP UPL Data'!N:N,MATCH(A:A,'2023 IP UPL Data'!B:B,0)),INDEX('2023 IMD UPL Data'!M:M,MATCH(A:A,'2023 IMD UPL Data'!B:B,0))),0)</f>
        <v>30318.204123753017</v>
      </c>
      <c r="M337" s="45">
        <f>IFERROR((IF(F337="IMD",0,INDEX('2023 OP UPL Data'!M:M,MATCH(A:A,'2023 OP UPL Data'!B:B,0)))),0)</f>
        <v>57682.176250000019</v>
      </c>
      <c r="N337" s="45">
        <f t="shared" si="132"/>
        <v>88000.38037375304</v>
      </c>
      <c r="O337" s="45">
        <v>38414.616276091052</v>
      </c>
      <c r="P337" s="45">
        <v>39082.52687466878</v>
      </c>
      <c r="Q337" s="45">
        <f t="shared" si="133"/>
        <v>77497.143150759832</v>
      </c>
      <c r="R337" s="45" t="str">
        <f t="shared" si="134"/>
        <v>Yes</v>
      </c>
      <c r="S337" s="46" t="str">
        <f t="shared" si="134"/>
        <v>Yes</v>
      </c>
      <c r="T337" s="47">
        <f>ROUND(INDEX(Summary!H:H,MATCH(H:H,Summary!A:A,0)),2)</f>
        <v>0</v>
      </c>
      <c r="U337" s="47">
        <f>ROUND(INDEX(Summary!I:I,MATCH(H:H,Summary!A:A,0)),2)</f>
        <v>0.28999999999999998</v>
      </c>
      <c r="V337" s="85">
        <f t="shared" si="135"/>
        <v>0</v>
      </c>
      <c r="W337" s="85">
        <f t="shared" si="135"/>
        <v>84680.792008516277</v>
      </c>
      <c r="X337" s="45">
        <f t="shared" si="136"/>
        <v>84680.792008516277</v>
      </c>
      <c r="Y337" s="45" t="s">
        <v>3223</v>
      </c>
      <c r="Z337" s="45" t="str">
        <f t="shared" si="137"/>
        <v>No</v>
      </c>
      <c r="AA337" s="45" t="str">
        <f t="shared" si="137"/>
        <v>No</v>
      </c>
      <c r="AB337" s="45" t="str">
        <f t="shared" si="138"/>
        <v>Yes</v>
      </c>
      <c r="AC337" s="86">
        <f t="shared" si="151"/>
        <v>1.24</v>
      </c>
      <c r="AD337" s="86">
        <f t="shared" si="152"/>
        <v>0</v>
      </c>
      <c r="AE337" s="45">
        <f t="shared" si="153"/>
        <v>26666.582583763182</v>
      </c>
      <c r="AF337" s="45">
        <f t="shared" si="153"/>
        <v>0</v>
      </c>
      <c r="AG337" s="45">
        <f t="shared" si="139"/>
        <v>26666.582583763182</v>
      </c>
      <c r="AH337" s="47">
        <f>IF(Y337="No",0,IFERROR(ROUNDDOWN(INDEX('90% of ACR'!K:K,MATCH(H:H,'90% of ACR'!A:A,0))*IF(I337&gt;0,IF(O337&gt;0,$R$4*MAX(O337-V337,0),0),0)/I337,2),0))</f>
        <v>0</v>
      </c>
      <c r="AI337" s="86">
        <f>IF(Y337="No",0,IFERROR(ROUNDDOWN(INDEX('90% of ACR'!R:R,MATCH(H:H,'90% of ACR'!A:A,0))*IF(J337&gt;0,IF(P337&gt;0,$R$4*MAX(P337-W337,0),0),0)/J337,2),0))</f>
        <v>0</v>
      </c>
      <c r="AJ337" s="45">
        <f t="shared" si="140"/>
        <v>0</v>
      </c>
      <c r="AK337" s="45">
        <f t="shared" si="140"/>
        <v>0</v>
      </c>
      <c r="AL337" s="47">
        <f t="shared" si="141"/>
        <v>0</v>
      </c>
      <c r="AM337" s="47">
        <f t="shared" si="141"/>
        <v>0.28999999999999998</v>
      </c>
      <c r="AN337" s="87">
        <f>IFERROR(INDEX(FeeCalc!P:P,MATCH(C337,FeeCalc!F:F,0)),0)</f>
        <v>84680.792008516277</v>
      </c>
      <c r="AO337" s="87">
        <f>IFERROR(INDEX(FeeCalc!S:S,MATCH(C337,FeeCalc!F:F,0)),0)</f>
        <v>5181.0673742710605</v>
      </c>
      <c r="AP337" s="87">
        <f t="shared" si="142"/>
        <v>89861.859382787341</v>
      </c>
      <c r="AQ337" s="72">
        <f t="shared" si="143"/>
        <v>38131.262515616923</v>
      </c>
      <c r="AR337" s="72">
        <f t="shared" si="144"/>
        <v>19065.631257808462</v>
      </c>
      <c r="AS337" s="72">
        <f t="shared" si="145"/>
        <v>19065.631257808462</v>
      </c>
      <c r="AT337" s="72">
        <f>IFERROR(IFERROR(INDEX('2023 IP UPL Data'!L:L,MATCH(A:A,'2023 IP UPL Data'!B:B,0)),INDEX('2023 IMD UPL Data'!I:I,MATCH(A:A,'2023 IMD UPL Data'!B:B,0))),0)</f>
        <v>22445.905876246983</v>
      </c>
      <c r="AU337" s="72">
        <f>IFERROR(IF(F335="IMD",0,INDEX('2023 OP UPL Data'!J:J,MATCH(A:A,'2023 OP UPL Data'!B:B,0))),0)</f>
        <v>137540.58374999999</v>
      </c>
      <c r="AV337" s="45">
        <f t="shared" si="146"/>
        <v>159986.48962624697</v>
      </c>
      <c r="AW337" s="72">
        <f>IFERROR(IFERROR(INDEX('2023 IP UPL Data'!M:M,MATCH(A:A,'2023 IP UPL Data'!B:B,0)),INDEX('2023 IMD UPL Data'!K:K,MATCH(A:A,'2023 IMD UPL Data'!B:B,0))),0)</f>
        <v>52764.11</v>
      </c>
      <c r="AX337" s="72">
        <f>IFERROR(IF(F335="IMD",0,INDEX('2023 OP UPL Data'!L:L,MATCH(A:A,'2023 OP UPL Data'!B:B,0))),0)</f>
        <v>195222.76</v>
      </c>
      <c r="AY337" s="45">
        <f t="shared" si="147"/>
        <v>247986.87</v>
      </c>
      <c r="AZ337" s="72">
        <v>60860.522152338031</v>
      </c>
      <c r="BA337" s="72">
        <v>176623.11062466877</v>
      </c>
      <c r="BB337" s="72">
        <f t="shared" si="148"/>
        <v>60860.522152338031</v>
      </c>
      <c r="BC337" s="72">
        <f t="shared" si="148"/>
        <v>91942.318616152494</v>
      </c>
      <c r="BD337" s="72">
        <f t="shared" si="149"/>
        <v>152802.84076849051</v>
      </c>
      <c r="BE337" s="94">
        <f t="shared" si="150"/>
        <v>8096.4121523380309</v>
      </c>
      <c r="BF337" s="94">
        <f t="shared" si="150"/>
        <v>0</v>
      </c>
      <c r="BG337" s="73">
        <f>IFERROR(INDEX('2023 IP UPL Data'!K:K,MATCH(A337,'2023 IP UPL Data'!B:B,0)),0)</f>
        <v>0</v>
      </c>
    </row>
    <row r="338" spans="1:59">
      <c r="A338" s="124" t="s">
        <v>1565</v>
      </c>
      <c r="B338" s="149" t="s">
        <v>1565</v>
      </c>
      <c r="C338" s="31" t="s">
        <v>1716</v>
      </c>
      <c r="D338" s="181" t="s">
        <v>1716</v>
      </c>
      <c r="E338" s="144" t="s">
        <v>3568</v>
      </c>
      <c r="F338" s="120" t="s">
        <v>2718</v>
      </c>
      <c r="G338" s="120" t="s">
        <v>1189</v>
      </c>
      <c r="H338" s="43" t="str">
        <f t="shared" si="130"/>
        <v>Urban El Paso</v>
      </c>
      <c r="I338" s="45">
        <f>INDEX(FeeCalc!M:M,MATCH(C:C,FeeCalc!F:F,0))</f>
        <v>1671905.5840690141</v>
      </c>
      <c r="J338" s="45">
        <f>INDEX(FeeCalc!L:L,MATCH(C:C,FeeCalc!F:F,0))</f>
        <v>1162141.8549956533</v>
      </c>
      <c r="K338" s="45">
        <f t="shared" si="131"/>
        <v>2834047.4390646676</v>
      </c>
      <c r="L338" s="45">
        <f>IFERROR(IFERROR(INDEX('2023 IP UPL Data'!N:N,MATCH(A:A,'2023 IP UPL Data'!B:B,0)),INDEX('2023 IMD UPL Data'!M:M,MATCH(A:A,'2023 IMD UPL Data'!B:B,0))),0)</f>
        <v>2762021.0501886788</v>
      </c>
      <c r="M338" s="45">
        <f>IFERROR((IF(F338="IMD",0,INDEX('2023 OP UPL Data'!M:M,MATCH(A:A,'2023 OP UPL Data'!B:B,0)))),0)</f>
        <v>2219955.0386792454</v>
      </c>
      <c r="N338" s="45">
        <f t="shared" si="132"/>
        <v>4981976.0888679242</v>
      </c>
      <c r="O338" s="45">
        <v>11615172.277012357</v>
      </c>
      <c r="P338" s="45">
        <v>3165096.7816728828</v>
      </c>
      <c r="Q338" s="45">
        <f t="shared" si="133"/>
        <v>14780269.058685239</v>
      </c>
      <c r="R338" s="45" t="str">
        <f t="shared" si="134"/>
        <v>Yes</v>
      </c>
      <c r="S338" s="46" t="str">
        <f t="shared" si="134"/>
        <v>Yes</v>
      </c>
      <c r="T338" s="47">
        <f>ROUND(INDEX(Summary!H:H,MATCH(H:H,Summary!A:A,0)),2)</f>
        <v>0.48</v>
      </c>
      <c r="U338" s="47">
        <f>ROUND(INDEX(Summary!I:I,MATCH(H:H,Summary!A:A,0)),2)</f>
        <v>0.92</v>
      </c>
      <c r="V338" s="85">
        <f t="shared" si="135"/>
        <v>802514.68035312672</v>
      </c>
      <c r="W338" s="85">
        <f t="shared" si="135"/>
        <v>1069170.5065960011</v>
      </c>
      <c r="X338" s="45">
        <f t="shared" si="136"/>
        <v>1871685.1869491278</v>
      </c>
      <c r="Y338" s="45" t="s">
        <v>3223</v>
      </c>
      <c r="Z338" s="45" t="str">
        <f t="shared" si="137"/>
        <v>Yes</v>
      </c>
      <c r="AA338" s="45" t="str">
        <f t="shared" si="137"/>
        <v>Yes</v>
      </c>
      <c r="AB338" s="45" t="str">
        <f t="shared" si="138"/>
        <v>Yes</v>
      </c>
      <c r="AC338" s="86">
        <f t="shared" si="151"/>
        <v>4.51</v>
      </c>
      <c r="AD338" s="86">
        <f t="shared" si="152"/>
        <v>1.26</v>
      </c>
      <c r="AE338" s="45">
        <f t="shared" si="153"/>
        <v>7540294.1841512527</v>
      </c>
      <c r="AF338" s="45">
        <f t="shared" si="153"/>
        <v>1464298.737294523</v>
      </c>
      <c r="AG338" s="45">
        <f t="shared" si="139"/>
        <v>9004592.9214457758</v>
      </c>
      <c r="AH338" s="47">
        <f>IF(Y338="No",0,IFERROR(ROUNDDOWN(INDEX('90% of ACR'!K:K,MATCH(H:H,'90% of ACR'!A:A,0))*IF(I338&gt;0,IF(O338&gt;0,$R$4*MAX(O338-V338,0),0),0)/I338,2),0))</f>
        <v>3.85</v>
      </c>
      <c r="AI338" s="86">
        <f>IF(Y338="No",0,IFERROR(ROUNDDOWN(INDEX('90% of ACR'!R:R,MATCH(H:H,'90% of ACR'!A:A,0))*IF(J338&gt;0,IF(P338&gt;0,$R$4*MAX(P338-W338,0),0),0)/J338,2),0))</f>
        <v>1.25</v>
      </c>
      <c r="AJ338" s="45">
        <f t="shared" si="140"/>
        <v>6436836.4986657044</v>
      </c>
      <c r="AK338" s="45">
        <f t="shared" si="140"/>
        <v>1452677.3187445665</v>
      </c>
      <c r="AL338" s="47">
        <f t="shared" si="141"/>
        <v>4.33</v>
      </c>
      <c r="AM338" s="47">
        <f t="shared" si="141"/>
        <v>2.17</v>
      </c>
      <c r="AN338" s="87">
        <f>IFERROR(INDEX(FeeCalc!P:P,MATCH(C338,FeeCalc!F:F,0)),0)</f>
        <v>9761199.004359398</v>
      </c>
      <c r="AO338" s="87">
        <f>IFERROR(INDEX(FeeCalc!S:S,MATCH(C338,FeeCalc!F:F,0)),0)</f>
        <v>613940.62780049536</v>
      </c>
      <c r="AP338" s="87">
        <f t="shared" si="142"/>
        <v>10375139.632159892</v>
      </c>
      <c r="AQ338" s="72">
        <f t="shared" si="143"/>
        <v>4402503.7503936719</v>
      </c>
      <c r="AR338" s="72">
        <f t="shared" si="144"/>
        <v>2201251.875196836</v>
      </c>
      <c r="AS338" s="72">
        <f t="shared" si="145"/>
        <v>2201251.875196836</v>
      </c>
      <c r="AT338" s="72">
        <f>IFERROR(IFERROR(INDEX('2023 IP UPL Data'!L:L,MATCH(A:A,'2023 IP UPL Data'!B:B,0)),INDEX('2023 IMD UPL Data'!I:I,MATCH(A:A,'2023 IMD UPL Data'!B:B,0))),0)</f>
        <v>1841743.169811321</v>
      </c>
      <c r="AU338" s="72">
        <f>IFERROR(IF(F336="IMD",0,INDEX('2023 OP UPL Data'!J:J,MATCH(A:A,'2023 OP UPL Data'!B:B,0))),0)</f>
        <v>636271.8113207547</v>
      </c>
      <c r="AV338" s="45">
        <f t="shared" si="146"/>
        <v>2478014.9811320757</v>
      </c>
      <c r="AW338" s="72">
        <f>IFERROR(IFERROR(INDEX('2023 IP UPL Data'!M:M,MATCH(A:A,'2023 IP UPL Data'!B:B,0)),INDEX('2023 IMD UPL Data'!K:K,MATCH(A:A,'2023 IMD UPL Data'!B:B,0))),0)</f>
        <v>4603764.22</v>
      </c>
      <c r="AX338" s="72">
        <f>IFERROR(IF(F336="IMD",0,INDEX('2023 OP UPL Data'!L:L,MATCH(A:A,'2023 OP UPL Data'!B:B,0))),0)</f>
        <v>2856226.85</v>
      </c>
      <c r="AY338" s="45">
        <f t="shared" si="147"/>
        <v>7459991.0700000003</v>
      </c>
      <c r="AZ338" s="72">
        <v>13456915.446823679</v>
      </c>
      <c r="BA338" s="72">
        <v>3801368.5929936375</v>
      </c>
      <c r="BB338" s="72">
        <f t="shared" si="148"/>
        <v>12654400.766470551</v>
      </c>
      <c r="BC338" s="72">
        <f t="shared" si="148"/>
        <v>2732198.0863976367</v>
      </c>
      <c r="BD338" s="72">
        <f t="shared" si="149"/>
        <v>15386598.85286819</v>
      </c>
      <c r="BE338" s="94">
        <f t="shared" si="150"/>
        <v>8853151.2268236801</v>
      </c>
      <c r="BF338" s="94">
        <f t="shared" si="150"/>
        <v>945141.74299363745</v>
      </c>
      <c r="BG338" s="73">
        <f>IFERROR(INDEX('2023 IP UPL Data'!K:K,MATCH(A338,'2023 IP UPL Data'!B:B,0)),0)</f>
        <v>0</v>
      </c>
    </row>
    <row r="339" spans="1:59">
      <c r="A339" s="124" t="s">
        <v>1080</v>
      </c>
      <c r="B339" s="149" t="s">
        <v>1080</v>
      </c>
      <c r="C339" s="31" t="s">
        <v>1081</v>
      </c>
      <c r="D339" s="181" t="s">
        <v>1081</v>
      </c>
      <c r="E339" s="144" t="s">
        <v>3569</v>
      </c>
      <c r="F339" s="120" t="s">
        <v>2718</v>
      </c>
      <c r="G339" s="120" t="s">
        <v>1189</v>
      </c>
      <c r="H339" s="43" t="str">
        <f t="shared" si="130"/>
        <v>Urban El Paso</v>
      </c>
      <c r="I339" s="45">
        <f>INDEX(FeeCalc!M:M,MATCH(C:C,FeeCalc!F:F,0))</f>
        <v>10442074.240748018</v>
      </c>
      <c r="J339" s="45">
        <f>INDEX(FeeCalc!L:L,MATCH(C:C,FeeCalc!F:F,0))</f>
        <v>5630694.2858230164</v>
      </c>
      <c r="K339" s="45">
        <f t="shared" si="131"/>
        <v>16072768.526571035</v>
      </c>
      <c r="L339" s="45">
        <f>IFERROR(IFERROR(INDEX('2023 IP UPL Data'!N:N,MATCH(A:A,'2023 IP UPL Data'!B:B,0)),INDEX('2023 IMD UPL Data'!M:M,MATCH(A:A,'2023 IMD UPL Data'!B:B,0))),0)</f>
        <v>5175267.6786163524</v>
      </c>
      <c r="M339" s="45">
        <f>IFERROR((IF(F339="IMD",0,INDEX('2023 OP UPL Data'!M:M,MATCH(A:A,'2023 OP UPL Data'!B:B,0)))),0)</f>
        <v>4065190.8235220131</v>
      </c>
      <c r="N339" s="45">
        <f t="shared" si="132"/>
        <v>9240458.5021383651</v>
      </c>
      <c r="O339" s="45">
        <v>34056617.276470751</v>
      </c>
      <c r="P339" s="45">
        <v>10408468.295170579</v>
      </c>
      <c r="Q339" s="45">
        <f t="shared" si="133"/>
        <v>44465085.571641326</v>
      </c>
      <c r="R339" s="45" t="str">
        <f t="shared" si="134"/>
        <v>Yes</v>
      </c>
      <c r="S339" s="46" t="str">
        <f t="shared" si="134"/>
        <v>Yes</v>
      </c>
      <c r="T339" s="47">
        <f>ROUND(INDEX(Summary!H:H,MATCH(H:H,Summary!A:A,0)),2)</f>
        <v>0.48</v>
      </c>
      <c r="U339" s="47">
        <f>ROUND(INDEX(Summary!I:I,MATCH(H:H,Summary!A:A,0)),2)</f>
        <v>0.92</v>
      </c>
      <c r="V339" s="85">
        <f t="shared" si="135"/>
        <v>5012195.6355590485</v>
      </c>
      <c r="W339" s="85">
        <f t="shared" si="135"/>
        <v>5180238.7429571757</v>
      </c>
      <c r="X339" s="45">
        <f t="shared" si="136"/>
        <v>10192434.378516223</v>
      </c>
      <c r="Y339" s="45" t="s">
        <v>3223</v>
      </c>
      <c r="Z339" s="45" t="str">
        <f t="shared" si="137"/>
        <v>Yes</v>
      </c>
      <c r="AA339" s="45" t="str">
        <f t="shared" si="137"/>
        <v>Yes</v>
      </c>
      <c r="AB339" s="45" t="str">
        <f t="shared" si="138"/>
        <v>Yes</v>
      </c>
      <c r="AC339" s="86">
        <f t="shared" si="151"/>
        <v>1.94</v>
      </c>
      <c r="AD339" s="86">
        <f t="shared" si="152"/>
        <v>0.65</v>
      </c>
      <c r="AE339" s="45">
        <f t="shared" si="153"/>
        <v>20257624.027051155</v>
      </c>
      <c r="AF339" s="45">
        <f t="shared" si="153"/>
        <v>3659951.2857849607</v>
      </c>
      <c r="AG339" s="45">
        <f t="shared" si="139"/>
        <v>23917575.312836114</v>
      </c>
      <c r="AH339" s="47">
        <f>IF(Y339="No",0,IFERROR(ROUNDDOWN(INDEX('90% of ACR'!K:K,MATCH(H:H,'90% of ACR'!A:A,0))*IF(I339&gt;0,IF(O339&gt;0,$R$4*MAX(O339-V339,0),0),0)/I339,2),0))</f>
        <v>1.65</v>
      </c>
      <c r="AI339" s="86">
        <f>IF(Y339="No",0,IFERROR(ROUNDDOWN(INDEX('90% of ACR'!R:R,MATCH(H:H,'90% of ACR'!A:A,0))*IF(J339&gt;0,IF(P339&gt;0,$R$4*MAX(P339-W339,0),0),0)/J339,2),0))</f>
        <v>0.64</v>
      </c>
      <c r="AJ339" s="45">
        <f t="shared" si="140"/>
        <v>17229422.497234229</v>
      </c>
      <c r="AK339" s="45">
        <f t="shared" si="140"/>
        <v>3603644.3429267304</v>
      </c>
      <c r="AL339" s="47">
        <f t="shared" si="141"/>
        <v>2.13</v>
      </c>
      <c r="AM339" s="47">
        <f t="shared" si="141"/>
        <v>1.56</v>
      </c>
      <c r="AN339" s="87">
        <f>IFERROR(INDEX(FeeCalc!P:P,MATCH(C339,FeeCalc!F:F,0)),0)</f>
        <v>31025501.218677185</v>
      </c>
      <c r="AO339" s="87">
        <f>IFERROR(INDEX(FeeCalc!S:S,MATCH(C339,FeeCalc!F:F,0)),0)</f>
        <v>1907593.9314682139</v>
      </c>
      <c r="AP339" s="87">
        <f t="shared" si="142"/>
        <v>32933095.1501454</v>
      </c>
      <c r="AQ339" s="72">
        <f t="shared" si="143"/>
        <v>13974566.131251499</v>
      </c>
      <c r="AR339" s="72">
        <f t="shared" si="144"/>
        <v>6987283.0656257495</v>
      </c>
      <c r="AS339" s="72">
        <f t="shared" si="145"/>
        <v>6987283.0656257495</v>
      </c>
      <c r="AT339" s="72">
        <f>IFERROR(IFERROR(INDEX('2023 IP UPL Data'!L:L,MATCH(A:A,'2023 IP UPL Data'!B:B,0)),INDEX('2023 IMD UPL Data'!I:I,MATCH(A:A,'2023 IMD UPL Data'!B:B,0))),0)</f>
        <v>8671568.4213836472</v>
      </c>
      <c r="AU339" s="72">
        <f>IFERROR(IF(F337="IMD",0,INDEX('2023 OP UPL Data'!J:J,MATCH(A:A,'2023 OP UPL Data'!B:B,0))),0)</f>
        <v>2432988.836477987</v>
      </c>
      <c r="AV339" s="45">
        <f t="shared" si="146"/>
        <v>11104557.257861635</v>
      </c>
      <c r="AW339" s="72">
        <f>IFERROR(IFERROR(INDEX('2023 IP UPL Data'!M:M,MATCH(A:A,'2023 IP UPL Data'!B:B,0)),INDEX('2023 IMD UPL Data'!K:K,MATCH(A:A,'2023 IMD UPL Data'!B:B,0))),0)</f>
        <v>13846836.1</v>
      </c>
      <c r="AX339" s="72">
        <f>IFERROR(IF(F337="IMD",0,INDEX('2023 OP UPL Data'!L:L,MATCH(A:A,'2023 OP UPL Data'!B:B,0))),0)</f>
        <v>6498179.6600000001</v>
      </c>
      <c r="AY339" s="45">
        <f t="shared" si="147"/>
        <v>20345015.759999998</v>
      </c>
      <c r="AZ339" s="72">
        <v>42728185.6978544</v>
      </c>
      <c r="BA339" s="72">
        <v>12841457.131648567</v>
      </c>
      <c r="BB339" s="72">
        <f t="shared" si="148"/>
        <v>37715990.062295347</v>
      </c>
      <c r="BC339" s="72">
        <f t="shared" si="148"/>
        <v>7661218.3886913909</v>
      </c>
      <c r="BD339" s="72">
        <f t="shared" si="149"/>
        <v>45377208.450986743</v>
      </c>
      <c r="BE339" s="94">
        <f t="shared" si="150"/>
        <v>28881349.597854398</v>
      </c>
      <c r="BF339" s="94">
        <f t="shared" si="150"/>
        <v>6343277.4716485664</v>
      </c>
      <c r="BG339" s="73">
        <f>IFERROR(INDEX('2023 IP UPL Data'!K:K,MATCH(A339,'2023 IP UPL Data'!B:B,0)),0)</f>
        <v>0</v>
      </c>
    </row>
    <row r="340" spans="1:59">
      <c r="A340" s="124" t="s">
        <v>1562</v>
      </c>
      <c r="B340" s="149" t="s">
        <v>1562</v>
      </c>
      <c r="C340" s="31" t="s">
        <v>1798</v>
      </c>
      <c r="D340" s="181" t="s">
        <v>1798</v>
      </c>
      <c r="E340" s="144" t="s">
        <v>2974</v>
      </c>
      <c r="F340" s="120" t="s">
        <v>2768</v>
      </c>
      <c r="G340" s="120" t="s">
        <v>310</v>
      </c>
      <c r="H340" s="43" t="str">
        <f t="shared" si="130"/>
        <v>Rural MRSA Northeast</v>
      </c>
      <c r="I340" s="45">
        <f>INDEX(FeeCalc!M:M,MATCH(C:C,FeeCalc!F:F,0))</f>
        <v>3873393.9157577422</v>
      </c>
      <c r="J340" s="45">
        <f>INDEX(FeeCalc!L:L,MATCH(C:C,FeeCalc!F:F,0))</f>
        <v>2242297.02247437</v>
      </c>
      <c r="K340" s="45">
        <f t="shared" si="131"/>
        <v>6115690.9382321127</v>
      </c>
      <c r="L340" s="45">
        <f>IFERROR(IFERROR(INDEX('2023 IP UPL Data'!N:N,MATCH(A:A,'2023 IP UPL Data'!B:B,0)),INDEX('2023 IMD UPL Data'!M:M,MATCH(A:A,'2023 IMD UPL Data'!B:B,0))),0)</f>
        <v>318892.68814203842</v>
      </c>
      <c r="M340" s="45">
        <f>IFERROR((IF(F340="IMD",0,INDEX('2023 OP UPL Data'!M:M,MATCH(A:A,'2023 OP UPL Data'!B:B,0)))),0)</f>
        <v>1727853.4318238995</v>
      </c>
      <c r="N340" s="45">
        <f t="shared" si="132"/>
        <v>2046746.1199659379</v>
      </c>
      <c r="O340" s="45">
        <v>2028780.8356005098</v>
      </c>
      <c r="P340" s="45">
        <v>4108820.4764948683</v>
      </c>
      <c r="Q340" s="45">
        <f t="shared" si="133"/>
        <v>6137601.3120953776</v>
      </c>
      <c r="R340" s="45" t="str">
        <f t="shared" si="134"/>
        <v>Yes</v>
      </c>
      <c r="S340" s="46" t="str">
        <f t="shared" si="134"/>
        <v>Yes</v>
      </c>
      <c r="T340" s="47">
        <f>ROUND(INDEX(Summary!H:H,MATCH(H:H,Summary!A:A,0)),2)</f>
        <v>0.16</v>
      </c>
      <c r="U340" s="47">
        <f>ROUND(INDEX(Summary!I:I,MATCH(H:H,Summary!A:A,0)),2)</f>
        <v>0.42</v>
      </c>
      <c r="V340" s="85">
        <f t="shared" si="135"/>
        <v>619743.02652123873</v>
      </c>
      <c r="W340" s="85">
        <f t="shared" si="135"/>
        <v>941764.74943923531</v>
      </c>
      <c r="X340" s="45">
        <f t="shared" si="136"/>
        <v>1561507.775960474</v>
      </c>
      <c r="Y340" s="45" t="s">
        <v>3223</v>
      </c>
      <c r="Z340" s="45" t="str">
        <f t="shared" si="137"/>
        <v>Yes</v>
      </c>
      <c r="AA340" s="45" t="str">
        <f t="shared" si="137"/>
        <v>Yes</v>
      </c>
      <c r="AB340" s="45" t="str">
        <f t="shared" si="138"/>
        <v>Yes</v>
      </c>
      <c r="AC340" s="86">
        <f t="shared" si="151"/>
        <v>0.25</v>
      </c>
      <c r="AD340" s="86">
        <f t="shared" si="152"/>
        <v>0.98</v>
      </c>
      <c r="AE340" s="45">
        <f t="shared" si="153"/>
        <v>968348.47893943556</v>
      </c>
      <c r="AF340" s="45">
        <f t="shared" si="153"/>
        <v>2197451.0820248825</v>
      </c>
      <c r="AG340" s="45">
        <f t="shared" si="139"/>
        <v>3165799.560964318</v>
      </c>
      <c r="AH340" s="47">
        <f>IF(Y340="No",0,IFERROR(ROUNDDOWN(INDEX('90% of ACR'!K:K,MATCH(H:H,'90% of ACR'!A:A,0))*IF(I340&gt;0,IF(O340&gt;0,$R$4*MAX(O340-V340,0),0),0)/I340,2),0))</f>
        <v>0.11</v>
      </c>
      <c r="AI340" s="86">
        <f>IF(Y340="No",0,IFERROR(ROUNDDOWN(INDEX('90% of ACR'!R:R,MATCH(H:H,'90% of ACR'!A:A,0))*IF(J340&gt;0,IF(P340&gt;0,$R$4*MAX(P340-W340,0),0),0)/J340,2),0))</f>
        <v>0.98</v>
      </c>
      <c r="AJ340" s="45">
        <f t="shared" si="140"/>
        <v>426073.33073335164</v>
      </c>
      <c r="AK340" s="45">
        <f t="shared" si="140"/>
        <v>2197451.0820248825</v>
      </c>
      <c r="AL340" s="47">
        <f t="shared" si="141"/>
        <v>0.27</v>
      </c>
      <c r="AM340" s="47">
        <f t="shared" si="141"/>
        <v>1.4</v>
      </c>
      <c r="AN340" s="87">
        <f>IFERROR(INDEX(FeeCalc!P:P,MATCH(C340,FeeCalc!F:F,0)),0)</f>
        <v>4185032.1887187082</v>
      </c>
      <c r="AO340" s="87">
        <f>IFERROR(INDEX(FeeCalc!S:S,MATCH(C340,FeeCalc!F:F,0)),0)</f>
        <v>258914.45601121924</v>
      </c>
      <c r="AP340" s="87">
        <f t="shared" si="142"/>
        <v>4443946.6447299272</v>
      </c>
      <c r="AQ340" s="72">
        <f t="shared" si="143"/>
        <v>1885708.7676515398</v>
      </c>
      <c r="AR340" s="72">
        <f t="shared" si="144"/>
        <v>942854.38382576988</v>
      </c>
      <c r="AS340" s="72">
        <f t="shared" si="145"/>
        <v>942854.38382576988</v>
      </c>
      <c r="AT340" s="72">
        <f>IFERROR(IFERROR(INDEX('2023 IP UPL Data'!L:L,MATCH(A:A,'2023 IP UPL Data'!B:B,0)),INDEX('2023 IMD UPL Data'!I:I,MATCH(A:A,'2023 IMD UPL Data'!B:B,0))),0)</f>
        <v>3883869.8318579611</v>
      </c>
      <c r="AU340" s="72">
        <f>IFERROR(IF(F338="IMD",0,INDEX('2023 OP UPL Data'!J:J,MATCH(A:A,'2023 OP UPL Data'!B:B,0))),0)</f>
        <v>817176.7881761007</v>
      </c>
      <c r="AV340" s="45">
        <f t="shared" si="146"/>
        <v>4701046.6200340614</v>
      </c>
      <c r="AW340" s="72">
        <f>IFERROR(IFERROR(INDEX('2023 IP UPL Data'!M:M,MATCH(A:A,'2023 IP UPL Data'!B:B,0)),INDEX('2023 IMD UPL Data'!K:K,MATCH(A:A,'2023 IMD UPL Data'!B:B,0))),0)</f>
        <v>4202762.5199999996</v>
      </c>
      <c r="AX340" s="72">
        <f>IFERROR(IF(F338="IMD",0,INDEX('2023 OP UPL Data'!L:L,MATCH(A:A,'2023 OP UPL Data'!B:B,0))),0)</f>
        <v>2545030.2200000002</v>
      </c>
      <c r="AY340" s="45">
        <f t="shared" si="147"/>
        <v>6747792.7400000002</v>
      </c>
      <c r="AZ340" s="72">
        <v>5912650.6674584709</v>
      </c>
      <c r="BA340" s="72">
        <v>4925997.264670969</v>
      </c>
      <c r="BB340" s="72">
        <f t="shared" si="148"/>
        <v>5292907.6409372324</v>
      </c>
      <c r="BC340" s="72">
        <f t="shared" si="148"/>
        <v>3984232.5152317337</v>
      </c>
      <c r="BD340" s="72">
        <f t="shared" si="149"/>
        <v>9277140.1561689656</v>
      </c>
      <c r="BE340" s="94">
        <f t="shared" si="150"/>
        <v>1709888.1474584714</v>
      </c>
      <c r="BF340" s="94">
        <f t="shared" si="150"/>
        <v>2380967.0446709688</v>
      </c>
      <c r="BG340" s="73">
        <f>IFERROR(INDEX('2023 IP UPL Data'!K:K,MATCH(A340,'2023 IP UPL Data'!B:B,0)),0)</f>
        <v>0</v>
      </c>
    </row>
    <row r="341" spans="1:59">
      <c r="A341" s="124" t="s">
        <v>111</v>
      </c>
      <c r="B341" s="149" t="s">
        <v>111</v>
      </c>
      <c r="C341" s="31" t="s">
        <v>112</v>
      </c>
      <c r="D341" s="181" t="s">
        <v>112</v>
      </c>
      <c r="E341" s="144" t="s">
        <v>2955</v>
      </c>
      <c r="F341" s="120" t="s">
        <v>2768</v>
      </c>
      <c r="G341" s="120" t="s">
        <v>227</v>
      </c>
      <c r="H341" s="43" t="str">
        <f t="shared" si="130"/>
        <v>Rural MRSA West</v>
      </c>
      <c r="I341" s="45">
        <f>INDEX(FeeCalc!M:M,MATCH(C:C,FeeCalc!F:F,0))</f>
        <v>1823021.2140462392</v>
      </c>
      <c r="J341" s="45">
        <f>INDEX(FeeCalc!L:L,MATCH(C:C,FeeCalc!F:F,0))</f>
        <v>2054647.3046623133</v>
      </c>
      <c r="K341" s="45">
        <f t="shared" si="131"/>
        <v>3877668.5187085522</v>
      </c>
      <c r="L341" s="45">
        <f>IFERROR(IFERROR(INDEX('2023 IP UPL Data'!N:N,MATCH(A:A,'2023 IP UPL Data'!B:B,0)),INDEX('2023 IMD UPL Data'!M:M,MATCH(A:A,'2023 IMD UPL Data'!B:B,0))),0)</f>
        <v>-264230.17802683334</v>
      </c>
      <c r="M341" s="45">
        <f>IFERROR((IF(F341="IMD",0,INDEX('2023 OP UPL Data'!M:M,MATCH(A:A,'2023 OP UPL Data'!B:B,0)))),0)</f>
        <v>478299.95687074831</v>
      </c>
      <c r="N341" s="45">
        <f t="shared" si="132"/>
        <v>214069.77884391497</v>
      </c>
      <c r="O341" s="45">
        <v>-425072.1777962012</v>
      </c>
      <c r="P341" s="45">
        <v>1601926.0453887554</v>
      </c>
      <c r="Q341" s="45">
        <f t="shared" si="133"/>
        <v>1176853.8675925541</v>
      </c>
      <c r="R341" s="45" t="str">
        <f t="shared" si="134"/>
        <v>No</v>
      </c>
      <c r="S341" s="46" t="str">
        <f t="shared" si="134"/>
        <v>Yes</v>
      </c>
      <c r="T341" s="47">
        <f>ROUND(INDEX(Summary!H:H,MATCH(H:H,Summary!A:A,0)),2)</f>
        <v>0</v>
      </c>
      <c r="U341" s="47">
        <f>ROUND(INDEX(Summary!I:I,MATCH(H:H,Summary!A:A,0)),2)</f>
        <v>0.28999999999999998</v>
      </c>
      <c r="V341" s="85">
        <f t="shared" si="135"/>
        <v>0</v>
      </c>
      <c r="W341" s="85">
        <f t="shared" si="135"/>
        <v>595847.71835207078</v>
      </c>
      <c r="X341" s="45">
        <f t="shared" si="136"/>
        <v>595847.71835207078</v>
      </c>
      <c r="Y341" s="45" t="s">
        <v>3223</v>
      </c>
      <c r="Z341" s="45" t="str">
        <f t="shared" si="137"/>
        <v>No</v>
      </c>
      <c r="AA341" s="45" t="str">
        <f t="shared" si="137"/>
        <v>Yes</v>
      </c>
      <c r="AB341" s="45" t="str">
        <f t="shared" si="138"/>
        <v>Yes</v>
      </c>
      <c r="AC341" s="86">
        <f t="shared" si="151"/>
        <v>0</v>
      </c>
      <c r="AD341" s="86">
        <f t="shared" si="152"/>
        <v>0.34</v>
      </c>
      <c r="AE341" s="45">
        <f t="shared" si="153"/>
        <v>0</v>
      </c>
      <c r="AF341" s="45">
        <f t="shared" si="153"/>
        <v>698580.08358518663</v>
      </c>
      <c r="AG341" s="45">
        <f t="shared" si="139"/>
        <v>698580.08358518663</v>
      </c>
      <c r="AH341" s="47">
        <f>IF(Y341="No",0,IFERROR(ROUNDDOWN(INDEX('90% of ACR'!K:K,MATCH(H:H,'90% of ACR'!A:A,0))*IF(I341&gt;0,IF(O341&gt;0,$R$4*MAX(O341-V341,0),0),0)/I341,2),0))</f>
        <v>0</v>
      </c>
      <c r="AI341" s="86">
        <f>IF(Y341="No",0,IFERROR(ROUNDDOWN(INDEX('90% of ACR'!R:R,MATCH(H:H,'90% of ACR'!A:A,0))*IF(J341&gt;0,IF(P341&gt;0,$R$4*MAX(P341-W341,0),0),0)/J341,2),0))</f>
        <v>0.33</v>
      </c>
      <c r="AJ341" s="45">
        <f t="shared" si="140"/>
        <v>0</v>
      </c>
      <c r="AK341" s="45">
        <f t="shared" si="140"/>
        <v>678033.61053856346</v>
      </c>
      <c r="AL341" s="47">
        <f t="shared" si="141"/>
        <v>0</v>
      </c>
      <c r="AM341" s="47">
        <f t="shared" si="141"/>
        <v>0.62</v>
      </c>
      <c r="AN341" s="87">
        <f>IFERROR(INDEX(FeeCalc!P:P,MATCH(C341,FeeCalc!F:F,0)),0)</f>
        <v>1273881.3288906342</v>
      </c>
      <c r="AO341" s="87">
        <f>IFERROR(INDEX(FeeCalc!S:S,MATCH(C341,FeeCalc!F:F,0)),0)</f>
        <v>78256.753035199741</v>
      </c>
      <c r="AP341" s="87">
        <f t="shared" si="142"/>
        <v>1352138.0819258341</v>
      </c>
      <c r="AQ341" s="72">
        <f t="shared" si="143"/>
        <v>573755.45657975308</v>
      </c>
      <c r="AR341" s="72">
        <f t="shared" si="144"/>
        <v>286877.72828987654</v>
      </c>
      <c r="AS341" s="72">
        <f t="shared" si="145"/>
        <v>286877.72828987654</v>
      </c>
      <c r="AT341" s="72">
        <f>IFERROR(IFERROR(INDEX('2023 IP UPL Data'!L:L,MATCH(A:A,'2023 IP UPL Data'!B:B,0)),INDEX('2023 IMD UPL Data'!I:I,MATCH(A:A,'2023 IMD UPL Data'!B:B,0))),0)</f>
        <v>1446901.7480268334</v>
      </c>
      <c r="AU341" s="72">
        <f>IFERROR(IF(F339="IMD",0,INDEX('2023 OP UPL Data'!J:J,MATCH(A:A,'2023 OP UPL Data'!B:B,0))),0)</f>
        <v>676931.98312925163</v>
      </c>
      <c r="AV341" s="45">
        <f t="shared" si="146"/>
        <v>2123833.7311560852</v>
      </c>
      <c r="AW341" s="72">
        <f>IFERROR(IFERROR(INDEX('2023 IP UPL Data'!M:M,MATCH(A:A,'2023 IP UPL Data'!B:B,0)),INDEX('2023 IMD UPL Data'!K:K,MATCH(A:A,'2023 IMD UPL Data'!B:B,0))),0)</f>
        <v>1182671.57</v>
      </c>
      <c r="AX341" s="72">
        <f>IFERROR(IF(F339="IMD",0,INDEX('2023 OP UPL Data'!L:L,MATCH(A:A,'2023 OP UPL Data'!B:B,0))),0)</f>
        <v>1155231.94</v>
      </c>
      <c r="AY341" s="45">
        <f t="shared" si="147"/>
        <v>2337903.5099999998</v>
      </c>
      <c r="AZ341" s="72">
        <v>1021829.5702306322</v>
      </c>
      <c r="BA341" s="72">
        <v>2278858.0285180071</v>
      </c>
      <c r="BB341" s="72">
        <f t="shared" si="148"/>
        <v>1021829.5702306322</v>
      </c>
      <c r="BC341" s="72">
        <f t="shared" si="148"/>
        <v>1683010.3101659364</v>
      </c>
      <c r="BD341" s="72">
        <f t="shared" si="149"/>
        <v>2704839.8803965682</v>
      </c>
      <c r="BE341" s="94">
        <f t="shared" si="150"/>
        <v>0</v>
      </c>
      <c r="BF341" s="94">
        <f t="shared" si="150"/>
        <v>1123626.0885180072</v>
      </c>
      <c r="BG341" s="73">
        <f>IFERROR(INDEX('2023 IP UPL Data'!K:K,MATCH(A341,'2023 IP UPL Data'!B:B,0)),0)</f>
        <v>0</v>
      </c>
    </row>
    <row r="342" spans="1:59">
      <c r="A342" s="124" t="s">
        <v>1083</v>
      </c>
      <c r="B342" s="149" t="s">
        <v>1083</v>
      </c>
      <c r="C342" s="31" t="s">
        <v>1084</v>
      </c>
      <c r="D342" s="181" t="s">
        <v>1084</v>
      </c>
      <c r="E342" s="144" t="s">
        <v>3570</v>
      </c>
      <c r="F342" s="120" t="s">
        <v>2718</v>
      </c>
      <c r="G342" s="120" t="s">
        <v>1189</v>
      </c>
      <c r="H342" s="43" t="str">
        <f t="shared" si="130"/>
        <v>Urban El Paso</v>
      </c>
      <c r="I342" s="45">
        <f>INDEX(FeeCalc!M:M,MATCH(C:C,FeeCalc!F:F,0))</f>
        <v>1275138.382508453</v>
      </c>
      <c r="J342" s="45">
        <f>INDEX(FeeCalc!L:L,MATCH(C:C,FeeCalc!F:F,0))</f>
        <v>1349434.0598773621</v>
      </c>
      <c r="K342" s="45">
        <f t="shared" si="131"/>
        <v>2624572.4423858151</v>
      </c>
      <c r="L342" s="45">
        <f>IFERROR(IFERROR(INDEX('2023 IP UPL Data'!N:N,MATCH(A:A,'2023 IP UPL Data'!B:B,0)),INDEX('2023 IMD UPL Data'!M:M,MATCH(A:A,'2023 IMD UPL Data'!B:B,0))),0)</f>
        <v>1844800.0184905664</v>
      </c>
      <c r="M342" s="45">
        <f>IFERROR((IF(F342="IMD",0,INDEX('2023 OP UPL Data'!M:M,MATCH(A:A,'2023 OP UPL Data'!B:B,0)))),0)</f>
        <v>1448330.493899371</v>
      </c>
      <c r="N342" s="45">
        <f t="shared" si="132"/>
        <v>3293130.5123899374</v>
      </c>
      <c r="O342" s="45">
        <v>7900104.9701311793</v>
      </c>
      <c r="P342" s="45">
        <v>2738191.7423288259</v>
      </c>
      <c r="Q342" s="45">
        <f t="shared" si="133"/>
        <v>10638296.712460006</v>
      </c>
      <c r="R342" s="45" t="str">
        <f t="shared" si="134"/>
        <v>Yes</v>
      </c>
      <c r="S342" s="46" t="str">
        <f t="shared" si="134"/>
        <v>Yes</v>
      </c>
      <c r="T342" s="47">
        <f>ROUND(INDEX(Summary!H:H,MATCH(H:H,Summary!A:A,0)),2)</f>
        <v>0.48</v>
      </c>
      <c r="U342" s="47">
        <f>ROUND(INDEX(Summary!I:I,MATCH(H:H,Summary!A:A,0)),2)</f>
        <v>0.92</v>
      </c>
      <c r="V342" s="85">
        <f t="shared" si="135"/>
        <v>612066.4236040574</v>
      </c>
      <c r="W342" s="85">
        <f t="shared" si="135"/>
        <v>1241479.3350871732</v>
      </c>
      <c r="X342" s="45">
        <f t="shared" si="136"/>
        <v>1853545.7586912306</v>
      </c>
      <c r="Y342" s="45" t="s">
        <v>3223</v>
      </c>
      <c r="Z342" s="45" t="str">
        <f t="shared" si="137"/>
        <v>Yes</v>
      </c>
      <c r="AA342" s="45" t="str">
        <f t="shared" si="137"/>
        <v>Yes</v>
      </c>
      <c r="AB342" s="45" t="str">
        <f t="shared" si="138"/>
        <v>Yes</v>
      </c>
      <c r="AC342" s="86">
        <f t="shared" si="151"/>
        <v>3.98</v>
      </c>
      <c r="AD342" s="86">
        <f t="shared" si="152"/>
        <v>0.77</v>
      </c>
      <c r="AE342" s="45">
        <f t="shared" si="153"/>
        <v>5075050.7623836426</v>
      </c>
      <c r="AF342" s="45">
        <f t="shared" si="153"/>
        <v>1039064.2261055688</v>
      </c>
      <c r="AG342" s="45">
        <f t="shared" si="139"/>
        <v>6114114.9884892115</v>
      </c>
      <c r="AH342" s="47">
        <f>IF(Y342="No",0,IFERROR(ROUNDDOWN(INDEX('90% of ACR'!K:K,MATCH(H:H,'90% of ACR'!A:A,0))*IF(I342&gt;0,IF(O342&gt;0,$R$4*MAX(O342-V342,0),0),0)/I342,2),0))</f>
        <v>3.4</v>
      </c>
      <c r="AI342" s="86">
        <f>IF(Y342="No",0,IFERROR(ROUNDDOWN(INDEX('90% of ACR'!R:R,MATCH(H:H,'90% of ACR'!A:A,0))*IF(J342&gt;0,IF(P342&gt;0,$R$4*MAX(P342-W342,0),0),0)/J342,2),0))</f>
        <v>0.77</v>
      </c>
      <c r="AJ342" s="45">
        <f t="shared" si="140"/>
        <v>4335470.5005287398</v>
      </c>
      <c r="AK342" s="45">
        <f t="shared" si="140"/>
        <v>1039064.2261055688</v>
      </c>
      <c r="AL342" s="47">
        <f t="shared" si="141"/>
        <v>3.88</v>
      </c>
      <c r="AM342" s="47">
        <f t="shared" si="141"/>
        <v>1.69</v>
      </c>
      <c r="AN342" s="87">
        <f>IFERROR(INDEX(FeeCalc!P:P,MATCH(C342,FeeCalc!F:F,0)),0)</f>
        <v>7228080.4853255395</v>
      </c>
      <c r="AO342" s="87">
        <f>IFERROR(INDEX(FeeCalc!S:S,MATCH(C342,FeeCalc!F:F,0)),0)</f>
        <v>449182.56485994969</v>
      </c>
      <c r="AP342" s="87">
        <f t="shared" si="142"/>
        <v>7677263.0501854895</v>
      </c>
      <c r="AQ342" s="72">
        <f t="shared" si="143"/>
        <v>3257708.3846113095</v>
      </c>
      <c r="AR342" s="72">
        <f t="shared" si="144"/>
        <v>1628854.1923056548</v>
      </c>
      <c r="AS342" s="72">
        <f t="shared" si="145"/>
        <v>1628854.1923056548</v>
      </c>
      <c r="AT342" s="72">
        <f>IFERROR(IFERROR(INDEX('2023 IP UPL Data'!L:L,MATCH(A:A,'2023 IP UPL Data'!B:B,0)),INDEX('2023 IMD UPL Data'!I:I,MATCH(A:A,'2023 IMD UPL Data'!B:B,0))),0)</f>
        <v>1442799.6415094337</v>
      </c>
      <c r="AU342" s="72">
        <f>IFERROR(IF(F340="IMD",0,INDEX('2023 OP UPL Data'!J:J,MATCH(A:A,'2023 OP UPL Data'!B:B,0))),0)</f>
        <v>629001.17610062892</v>
      </c>
      <c r="AV342" s="45">
        <f t="shared" si="146"/>
        <v>2071800.8176100627</v>
      </c>
      <c r="AW342" s="72">
        <f>IFERROR(IFERROR(INDEX('2023 IP UPL Data'!M:M,MATCH(A:A,'2023 IP UPL Data'!B:B,0)),INDEX('2023 IMD UPL Data'!K:K,MATCH(A:A,'2023 IMD UPL Data'!B:B,0))),0)</f>
        <v>3287599.66</v>
      </c>
      <c r="AX342" s="72">
        <f>IFERROR(IF(F340="IMD",0,INDEX('2023 OP UPL Data'!L:L,MATCH(A:A,'2023 OP UPL Data'!B:B,0))),0)</f>
        <v>2077331.67</v>
      </c>
      <c r="AY342" s="45">
        <f t="shared" si="147"/>
        <v>5364931.33</v>
      </c>
      <c r="AZ342" s="72">
        <v>9342904.6116406135</v>
      </c>
      <c r="BA342" s="72">
        <v>3367192.9184294548</v>
      </c>
      <c r="BB342" s="72">
        <f t="shared" si="148"/>
        <v>8730838.1880365554</v>
      </c>
      <c r="BC342" s="72">
        <f t="shared" si="148"/>
        <v>2125713.5833422816</v>
      </c>
      <c r="BD342" s="72">
        <f t="shared" si="149"/>
        <v>10856551.771378838</v>
      </c>
      <c r="BE342" s="94">
        <f t="shared" si="150"/>
        <v>6055304.9516406134</v>
      </c>
      <c r="BF342" s="94">
        <f t="shared" si="150"/>
        <v>1289861.2484294549</v>
      </c>
      <c r="BG342" s="73">
        <f>IFERROR(INDEX('2023 IP UPL Data'!K:K,MATCH(A342,'2023 IP UPL Data'!B:B,0)),0)</f>
        <v>0</v>
      </c>
    </row>
    <row r="343" spans="1:59">
      <c r="A343" s="124" t="s">
        <v>908</v>
      </c>
      <c r="B343" s="149" t="s">
        <v>908</v>
      </c>
      <c r="C343" s="31" t="s">
        <v>909</v>
      </c>
      <c r="D343" s="181" t="s">
        <v>909</v>
      </c>
      <c r="E343" s="144" t="s">
        <v>3571</v>
      </c>
      <c r="F343" s="120" t="s">
        <v>2768</v>
      </c>
      <c r="G343" s="120" t="s">
        <v>310</v>
      </c>
      <c r="H343" s="43" t="str">
        <f t="shared" si="130"/>
        <v>Rural MRSA Northeast</v>
      </c>
      <c r="I343" s="45">
        <f>INDEX(FeeCalc!M:M,MATCH(C:C,FeeCalc!F:F,0))</f>
        <v>4593795.7642430654</v>
      </c>
      <c r="J343" s="45">
        <f>INDEX(FeeCalc!L:L,MATCH(C:C,FeeCalc!F:F,0))</f>
        <v>2907460.6850590482</v>
      </c>
      <c r="K343" s="45">
        <f t="shared" si="131"/>
        <v>7501256.4493021136</v>
      </c>
      <c r="L343" s="45">
        <f>IFERROR(IFERROR(INDEX('2023 IP UPL Data'!N:N,MATCH(A:A,'2023 IP UPL Data'!B:B,0)),INDEX('2023 IMD UPL Data'!M:M,MATCH(A:A,'2023 IMD UPL Data'!B:B,0))),0)</f>
        <v>10822362.117273213</v>
      </c>
      <c r="M343" s="45">
        <f>IFERROR((IF(F343="IMD",0,INDEX('2023 OP UPL Data'!M:M,MATCH(A:A,'2023 OP UPL Data'!B:B,0)))),0)</f>
        <v>2211915.7410062891</v>
      </c>
      <c r="N343" s="45">
        <f t="shared" si="132"/>
        <v>13034277.858279502</v>
      </c>
      <c r="O343" s="45">
        <v>5373789.1584502272</v>
      </c>
      <c r="P343" s="45">
        <v>3845779.1887001013</v>
      </c>
      <c r="Q343" s="45">
        <f t="shared" si="133"/>
        <v>9219568.3471503295</v>
      </c>
      <c r="R343" s="45" t="str">
        <f t="shared" si="134"/>
        <v>Yes</v>
      </c>
      <c r="S343" s="46" t="str">
        <f t="shared" si="134"/>
        <v>Yes</v>
      </c>
      <c r="T343" s="47">
        <f>ROUND(INDEX(Summary!H:H,MATCH(H:H,Summary!A:A,0)),2)</f>
        <v>0.16</v>
      </c>
      <c r="U343" s="47">
        <f>ROUND(INDEX(Summary!I:I,MATCH(H:H,Summary!A:A,0)),2)</f>
        <v>0.42</v>
      </c>
      <c r="V343" s="85">
        <f t="shared" si="135"/>
        <v>735007.32227889053</v>
      </c>
      <c r="W343" s="85">
        <f t="shared" si="135"/>
        <v>1221133.4877248001</v>
      </c>
      <c r="X343" s="45">
        <f t="shared" si="136"/>
        <v>1956140.8100036907</v>
      </c>
      <c r="Y343" s="45" t="s">
        <v>3223</v>
      </c>
      <c r="Z343" s="45" t="str">
        <f t="shared" si="137"/>
        <v>Yes</v>
      </c>
      <c r="AA343" s="45" t="str">
        <f t="shared" si="137"/>
        <v>Yes</v>
      </c>
      <c r="AB343" s="45" t="str">
        <f t="shared" si="138"/>
        <v>Yes</v>
      </c>
      <c r="AC343" s="86">
        <f t="shared" si="151"/>
        <v>0.7</v>
      </c>
      <c r="AD343" s="86">
        <f t="shared" si="152"/>
        <v>0.63</v>
      </c>
      <c r="AE343" s="45">
        <f t="shared" si="153"/>
        <v>3215657.0349701457</v>
      </c>
      <c r="AF343" s="45">
        <f t="shared" si="153"/>
        <v>1831700.2315872004</v>
      </c>
      <c r="AG343" s="45">
        <f t="shared" si="139"/>
        <v>5047357.2665573461</v>
      </c>
      <c r="AH343" s="47">
        <f>IF(Y343="No",0,IFERROR(ROUNDDOWN(INDEX('90% of ACR'!K:K,MATCH(H:H,'90% of ACR'!A:A,0))*IF(I343&gt;0,IF(O343&gt;0,$R$4*MAX(O343-V343,0),0),0)/I343,2),0))</f>
        <v>0.33</v>
      </c>
      <c r="AI343" s="86">
        <f>IF(Y343="No",0,IFERROR(ROUNDDOWN(INDEX('90% of ACR'!R:R,MATCH(H:H,'90% of ACR'!A:A,0))*IF(J343&gt;0,IF(P343&gt;0,$R$4*MAX(P343-W343,0),0),0)/J343,2),0))</f>
        <v>0.62</v>
      </c>
      <c r="AJ343" s="45">
        <f t="shared" si="140"/>
        <v>1515952.6022002117</v>
      </c>
      <c r="AK343" s="45">
        <f t="shared" si="140"/>
        <v>1802625.6247366099</v>
      </c>
      <c r="AL343" s="47">
        <f t="shared" si="141"/>
        <v>0.49</v>
      </c>
      <c r="AM343" s="47">
        <f t="shared" si="141"/>
        <v>1.04</v>
      </c>
      <c r="AN343" s="87">
        <f>IFERROR(INDEX(FeeCalc!P:P,MATCH(C343,FeeCalc!F:F,0)),0)</f>
        <v>5274719.0369405122</v>
      </c>
      <c r="AO343" s="87">
        <f>IFERROR(INDEX(FeeCalc!S:S,MATCH(C343,FeeCalc!F:F,0)),0)</f>
        <v>325511.96278936916</v>
      </c>
      <c r="AP343" s="87">
        <f t="shared" si="142"/>
        <v>5600230.9997298811</v>
      </c>
      <c r="AQ343" s="72">
        <f t="shared" si="143"/>
        <v>2376357.2205773806</v>
      </c>
      <c r="AR343" s="72">
        <f t="shared" si="144"/>
        <v>1188178.6102886903</v>
      </c>
      <c r="AS343" s="72">
        <f t="shared" si="145"/>
        <v>1188178.6102886903</v>
      </c>
      <c r="AT343" s="72">
        <f>IFERROR(IFERROR(INDEX('2023 IP UPL Data'!L:L,MATCH(A:A,'2023 IP UPL Data'!B:B,0)),INDEX('2023 IMD UPL Data'!I:I,MATCH(A:A,'2023 IMD UPL Data'!B:B,0))),0)</f>
        <v>5045937.8427267876</v>
      </c>
      <c r="AU343" s="72">
        <f>IFERROR(IF(F341="IMD",0,INDEX('2023 OP UPL Data'!J:J,MATCH(A:A,'2023 OP UPL Data'!B:B,0))),0)</f>
        <v>1361792.1189937107</v>
      </c>
      <c r="AV343" s="45">
        <f t="shared" si="146"/>
        <v>6407729.9617204983</v>
      </c>
      <c r="AW343" s="72">
        <f>IFERROR(IFERROR(INDEX('2023 IP UPL Data'!M:M,MATCH(A:A,'2023 IP UPL Data'!B:B,0)),INDEX('2023 IMD UPL Data'!K:K,MATCH(A:A,'2023 IMD UPL Data'!B:B,0))),0)</f>
        <v>15868299.960000001</v>
      </c>
      <c r="AX343" s="72">
        <f>IFERROR(IF(F341="IMD",0,INDEX('2023 OP UPL Data'!L:L,MATCH(A:A,'2023 OP UPL Data'!B:B,0))),0)</f>
        <v>3573707.86</v>
      </c>
      <c r="AY343" s="45">
        <f t="shared" si="147"/>
        <v>19442007.82</v>
      </c>
      <c r="AZ343" s="72">
        <v>10419727.001177015</v>
      </c>
      <c r="BA343" s="72">
        <v>5207571.3076938121</v>
      </c>
      <c r="BB343" s="72">
        <f t="shared" si="148"/>
        <v>9684719.678898124</v>
      </c>
      <c r="BC343" s="72">
        <f t="shared" si="148"/>
        <v>3986437.8199690119</v>
      </c>
      <c r="BD343" s="72">
        <f t="shared" si="149"/>
        <v>13671157.498867135</v>
      </c>
      <c r="BE343" s="94">
        <f t="shared" si="150"/>
        <v>0</v>
      </c>
      <c r="BF343" s="94">
        <f t="shared" si="150"/>
        <v>1633863.4476938122</v>
      </c>
      <c r="BG343" s="73">
        <f>IFERROR(INDEX('2023 IP UPL Data'!K:K,MATCH(A343,'2023 IP UPL Data'!B:B,0)),0)</f>
        <v>0</v>
      </c>
    </row>
    <row r="344" spans="1:59">
      <c r="A344" s="124" t="s">
        <v>10</v>
      </c>
      <c r="B344" s="149" t="s">
        <v>10</v>
      </c>
      <c r="C344" s="31" t="s">
        <v>11</v>
      </c>
      <c r="D344" s="181" t="s">
        <v>11</v>
      </c>
      <c r="E344" s="144" t="s">
        <v>3572</v>
      </c>
      <c r="F344" s="120" t="s">
        <v>2768</v>
      </c>
      <c r="G344" s="120" t="s">
        <v>227</v>
      </c>
      <c r="H344" s="43" t="str">
        <f t="shared" si="130"/>
        <v>Rural MRSA West</v>
      </c>
      <c r="I344" s="45">
        <f>INDEX(FeeCalc!M:M,MATCH(C:C,FeeCalc!F:F,0))</f>
        <v>6639.3026874077905</v>
      </c>
      <c r="J344" s="45">
        <f>INDEX(FeeCalc!L:L,MATCH(C:C,FeeCalc!F:F,0))</f>
        <v>258128.58325967798</v>
      </c>
      <c r="K344" s="45">
        <f t="shared" si="131"/>
        <v>264767.88594708574</v>
      </c>
      <c r="L344" s="45">
        <f>IFERROR(IFERROR(INDEX('2023 IP UPL Data'!N:N,MATCH(A:A,'2023 IP UPL Data'!B:B,0)),INDEX('2023 IMD UPL Data'!M:M,MATCH(A:A,'2023 IMD UPL Data'!B:B,0))),0)</f>
        <v>26406.029926827367</v>
      </c>
      <c r="M344" s="45">
        <f>IFERROR((IF(F344="IMD",0,INDEX('2023 OP UPL Data'!M:M,MATCH(A:A,'2023 OP UPL Data'!B:B,0)))),0)</f>
        <v>197576.82275000002</v>
      </c>
      <c r="N344" s="45">
        <f t="shared" si="132"/>
        <v>223982.8526768274</v>
      </c>
      <c r="O344" s="45">
        <v>2801.6708724257187</v>
      </c>
      <c r="P344" s="45">
        <v>15529.892055387012</v>
      </c>
      <c r="Q344" s="45">
        <f t="shared" si="133"/>
        <v>18331.562927812731</v>
      </c>
      <c r="R344" s="45" t="str">
        <f t="shared" si="134"/>
        <v>Yes</v>
      </c>
      <c r="S344" s="46" t="str">
        <f t="shared" si="134"/>
        <v>Yes</v>
      </c>
      <c r="T344" s="47">
        <f>ROUND(INDEX(Summary!H:H,MATCH(H:H,Summary!A:A,0)),2)</f>
        <v>0</v>
      </c>
      <c r="U344" s="47">
        <f>ROUND(INDEX(Summary!I:I,MATCH(H:H,Summary!A:A,0)),2)</f>
        <v>0.28999999999999998</v>
      </c>
      <c r="V344" s="85">
        <f t="shared" si="135"/>
        <v>0</v>
      </c>
      <c r="W344" s="85">
        <f t="shared" si="135"/>
        <v>74857.289145306611</v>
      </c>
      <c r="X344" s="45">
        <f t="shared" si="136"/>
        <v>74857.289145306611</v>
      </c>
      <c r="Y344" s="45" t="s">
        <v>3223</v>
      </c>
      <c r="Z344" s="45" t="str">
        <f t="shared" si="137"/>
        <v>No</v>
      </c>
      <c r="AA344" s="45" t="str">
        <f t="shared" si="137"/>
        <v>No</v>
      </c>
      <c r="AB344" s="45" t="str">
        <f t="shared" si="138"/>
        <v>Yes</v>
      </c>
      <c r="AC344" s="86">
        <f t="shared" si="151"/>
        <v>0.28999999999999998</v>
      </c>
      <c r="AD344" s="86">
        <f t="shared" si="152"/>
        <v>0</v>
      </c>
      <c r="AE344" s="45">
        <f t="shared" si="153"/>
        <v>1925.3977793482591</v>
      </c>
      <c r="AF344" s="45">
        <f t="shared" si="153"/>
        <v>0</v>
      </c>
      <c r="AG344" s="45">
        <f t="shared" si="139"/>
        <v>1925.3977793482591</v>
      </c>
      <c r="AH344" s="47">
        <f>IF(Y344="No",0,IFERROR(ROUNDDOWN(INDEX('90% of ACR'!K:K,MATCH(H:H,'90% of ACR'!A:A,0))*IF(I344&gt;0,IF(O344&gt;0,$R$4*MAX(O344-V344,0),0),0)/I344,2),0))</f>
        <v>0</v>
      </c>
      <c r="AI344" s="86">
        <f>IF(Y344="No",0,IFERROR(ROUNDDOWN(INDEX('90% of ACR'!R:R,MATCH(H:H,'90% of ACR'!A:A,0))*IF(J344&gt;0,IF(P344&gt;0,$R$4*MAX(P344-W344,0),0),0)/J344,2),0))</f>
        <v>0</v>
      </c>
      <c r="AJ344" s="45">
        <f t="shared" si="140"/>
        <v>0</v>
      </c>
      <c r="AK344" s="45">
        <f t="shared" si="140"/>
        <v>0</v>
      </c>
      <c r="AL344" s="47">
        <f t="shared" si="141"/>
        <v>0</v>
      </c>
      <c r="AM344" s="47">
        <f t="shared" si="141"/>
        <v>0.28999999999999998</v>
      </c>
      <c r="AN344" s="87">
        <f>IFERROR(INDEX(FeeCalc!P:P,MATCH(C344,FeeCalc!F:F,0)),0)</f>
        <v>74857.289145306611</v>
      </c>
      <c r="AO344" s="87">
        <f>IFERROR(INDEX(FeeCalc!S:S,MATCH(C344,FeeCalc!F:F,0)),0)</f>
        <v>4599.9549086489505</v>
      </c>
      <c r="AP344" s="87">
        <f t="shared" si="142"/>
        <v>79457.244053955568</v>
      </c>
      <c r="AQ344" s="72">
        <f t="shared" si="143"/>
        <v>33716.251283903082</v>
      </c>
      <c r="AR344" s="72">
        <f t="shared" si="144"/>
        <v>16858.125641951541</v>
      </c>
      <c r="AS344" s="72">
        <f t="shared" si="145"/>
        <v>16858.125641951541</v>
      </c>
      <c r="AT344" s="72">
        <f>IFERROR(IFERROR(INDEX('2023 IP UPL Data'!L:L,MATCH(A:A,'2023 IP UPL Data'!B:B,0)),INDEX('2023 IMD UPL Data'!I:I,MATCH(A:A,'2023 IMD UPL Data'!B:B,0))),0)</f>
        <v>35221.080073172634</v>
      </c>
      <c r="AU344" s="72">
        <f>IFERROR(IF(F342="IMD",0,INDEX('2023 OP UPL Data'!J:J,MATCH(A:A,'2023 OP UPL Data'!B:B,0))),0)</f>
        <v>97517.437249999988</v>
      </c>
      <c r="AV344" s="45">
        <f t="shared" si="146"/>
        <v>132738.51732317262</v>
      </c>
      <c r="AW344" s="72">
        <f>IFERROR(IFERROR(INDEX('2023 IP UPL Data'!M:M,MATCH(A:A,'2023 IP UPL Data'!B:B,0)),INDEX('2023 IMD UPL Data'!K:K,MATCH(A:A,'2023 IMD UPL Data'!B:B,0))),0)</f>
        <v>61627.11</v>
      </c>
      <c r="AX344" s="72">
        <f>IFERROR(IF(F342="IMD",0,INDEX('2023 OP UPL Data'!L:L,MATCH(A:A,'2023 OP UPL Data'!B:B,0))),0)</f>
        <v>295094.26</v>
      </c>
      <c r="AY344" s="45">
        <f t="shared" si="147"/>
        <v>356721.37</v>
      </c>
      <c r="AZ344" s="72">
        <v>38022.750945598353</v>
      </c>
      <c r="BA344" s="72">
        <v>113047.329305387</v>
      </c>
      <c r="BB344" s="72">
        <f t="shared" si="148"/>
        <v>38022.750945598353</v>
      </c>
      <c r="BC344" s="72">
        <f t="shared" si="148"/>
        <v>38190.040160080389</v>
      </c>
      <c r="BD344" s="72">
        <f t="shared" si="149"/>
        <v>76212.791105678727</v>
      </c>
      <c r="BE344" s="94">
        <f t="shared" si="150"/>
        <v>0</v>
      </c>
      <c r="BF344" s="94">
        <f t="shared" si="150"/>
        <v>0</v>
      </c>
      <c r="BG344" s="73">
        <f>IFERROR(INDEX('2023 IP UPL Data'!K:K,MATCH(A344,'2023 IP UPL Data'!B:B,0)),0)</f>
        <v>0</v>
      </c>
    </row>
    <row r="345" spans="1:59">
      <c r="A345" s="124" t="s">
        <v>362</v>
      </c>
      <c r="B345" s="149" t="s">
        <v>362</v>
      </c>
      <c r="C345" s="31" t="s">
        <v>363</v>
      </c>
      <c r="D345" s="181" t="s">
        <v>363</v>
      </c>
      <c r="E345" s="144" t="s">
        <v>3573</v>
      </c>
      <c r="F345" s="120" t="s">
        <v>2718</v>
      </c>
      <c r="G345" s="120" t="s">
        <v>487</v>
      </c>
      <c r="H345" s="43" t="str">
        <f t="shared" si="130"/>
        <v>Urban Bexar</v>
      </c>
      <c r="I345" s="45">
        <f>INDEX(FeeCalc!M:M,MATCH(C:C,FeeCalc!F:F,0))</f>
        <v>1697510.8503097326</v>
      </c>
      <c r="J345" s="45">
        <f>INDEX(FeeCalc!L:L,MATCH(C:C,FeeCalc!F:F,0))</f>
        <v>1038878.6870212085</v>
      </c>
      <c r="K345" s="45">
        <f t="shared" si="131"/>
        <v>2736389.5373309413</v>
      </c>
      <c r="L345" s="45">
        <f>IFERROR(IFERROR(INDEX('2023 IP UPL Data'!N:N,MATCH(A:A,'2023 IP UPL Data'!B:B,0)),INDEX('2023 IMD UPL Data'!M:M,MATCH(A:A,'2023 IMD UPL Data'!B:B,0))),0)</f>
        <v>1099214.9452147242</v>
      </c>
      <c r="M345" s="45">
        <f>IFERROR((IF(F345="IMD",0,INDEX('2023 OP UPL Data'!M:M,MATCH(A:A,'2023 OP UPL Data'!B:B,0)))),0)</f>
        <v>1157311.7133128834</v>
      </c>
      <c r="N345" s="45">
        <f t="shared" si="132"/>
        <v>2256526.6585276076</v>
      </c>
      <c r="O345" s="45">
        <v>4923883.1694195345</v>
      </c>
      <c r="P345" s="45">
        <v>1728734.3485281728</v>
      </c>
      <c r="Q345" s="45">
        <f t="shared" si="133"/>
        <v>6652617.5179477073</v>
      </c>
      <c r="R345" s="45" t="str">
        <f t="shared" si="134"/>
        <v>Yes</v>
      </c>
      <c r="S345" s="46" t="str">
        <f t="shared" si="134"/>
        <v>Yes</v>
      </c>
      <c r="T345" s="47">
        <f>ROUND(INDEX(Summary!H:H,MATCH(H:H,Summary!A:A,0)),2)</f>
        <v>0.71</v>
      </c>
      <c r="U345" s="47">
        <f>ROUND(INDEX(Summary!I:I,MATCH(H:H,Summary!A:A,0)),2)</f>
        <v>0.67</v>
      </c>
      <c r="V345" s="85">
        <f t="shared" si="135"/>
        <v>1205232.70371991</v>
      </c>
      <c r="W345" s="85">
        <f t="shared" si="135"/>
        <v>696048.72030420974</v>
      </c>
      <c r="X345" s="45">
        <f t="shared" si="136"/>
        <v>1901281.4240241197</v>
      </c>
      <c r="Y345" s="45" t="s">
        <v>3223</v>
      </c>
      <c r="Z345" s="45" t="str">
        <f t="shared" si="137"/>
        <v>Yes</v>
      </c>
      <c r="AA345" s="45" t="str">
        <f t="shared" si="137"/>
        <v>Yes</v>
      </c>
      <c r="AB345" s="45" t="str">
        <f t="shared" si="138"/>
        <v>Yes</v>
      </c>
      <c r="AC345" s="86">
        <f t="shared" si="151"/>
        <v>1.53</v>
      </c>
      <c r="AD345" s="86">
        <f t="shared" si="152"/>
        <v>0.69</v>
      </c>
      <c r="AE345" s="45">
        <f t="shared" si="153"/>
        <v>2597191.6009738911</v>
      </c>
      <c r="AF345" s="45">
        <f t="shared" si="153"/>
        <v>716826.29404463375</v>
      </c>
      <c r="AG345" s="45">
        <f t="shared" si="139"/>
        <v>3314017.895018525</v>
      </c>
      <c r="AH345" s="47">
        <f>IF(Y345="No",0,IFERROR(ROUNDDOWN(INDEX('90% of ACR'!K:K,MATCH(H:H,'90% of ACR'!A:A,0))*IF(I345&gt;0,IF(O345&gt;0,$R$4*MAX(O345-V345,0),0),0)/I345,2),0))</f>
        <v>1.1299999999999999</v>
      </c>
      <c r="AI345" s="86">
        <f>IF(Y345="No",0,IFERROR(ROUNDDOWN(INDEX('90% of ACR'!R:R,MATCH(H:H,'90% of ACR'!A:A,0))*IF(J345&gt;0,IF(P345&gt;0,$R$4*MAX(P345-W345,0),0),0)/J345,2),0))</f>
        <v>0.44</v>
      </c>
      <c r="AJ345" s="45">
        <f t="shared" si="140"/>
        <v>1918187.2608499976</v>
      </c>
      <c r="AK345" s="45">
        <f t="shared" si="140"/>
        <v>457106.62228933175</v>
      </c>
      <c r="AL345" s="47">
        <f t="shared" si="141"/>
        <v>1.8399999999999999</v>
      </c>
      <c r="AM345" s="47">
        <f t="shared" si="141"/>
        <v>1.1100000000000001</v>
      </c>
      <c r="AN345" s="87">
        <f>IFERROR(INDEX(FeeCalc!P:P,MATCH(C345,FeeCalc!F:F,0)),0)</f>
        <v>4276575.307163449</v>
      </c>
      <c r="AO345" s="87">
        <f>IFERROR(INDEX(FeeCalc!S:S,MATCH(C345,FeeCalc!F:F,0)),0)</f>
        <v>264946.44482291746</v>
      </c>
      <c r="AP345" s="87">
        <f t="shared" si="142"/>
        <v>4541521.7519863667</v>
      </c>
      <c r="AQ345" s="72">
        <f t="shared" si="143"/>
        <v>1927113.0080638793</v>
      </c>
      <c r="AR345" s="72">
        <f t="shared" si="144"/>
        <v>963556.50403193966</v>
      </c>
      <c r="AS345" s="72">
        <f t="shared" si="145"/>
        <v>963556.50403193966</v>
      </c>
      <c r="AT345" s="72">
        <f>IFERROR(IFERROR(INDEX('2023 IP UPL Data'!L:L,MATCH(A:A,'2023 IP UPL Data'!B:B,0)),INDEX('2023 IMD UPL Data'!I:I,MATCH(A:A,'2023 IMD UPL Data'!B:B,0))),0)</f>
        <v>1315254.944785276</v>
      </c>
      <c r="AU345" s="72">
        <f>IFERROR(IF(F343="IMD",0,INDEX('2023 OP UPL Data'!J:J,MATCH(A:A,'2023 OP UPL Data'!B:B,0))),0)</f>
        <v>512194.57668711653</v>
      </c>
      <c r="AV345" s="45">
        <f t="shared" si="146"/>
        <v>1827449.5214723926</v>
      </c>
      <c r="AW345" s="72">
        <f>IFERROR(IFERROR(INDEX('2023 IP UPL Data'!M:M,MATCH(A:A,'2023 IP UPL Data'!B:B,0)),INDEX('2023 IMD UPL Data'!K:K,MATCH(A:A,'2023 IMD UPL Data'!B:B,0))),0)</f>
        <v>2414469.89</v>
      </c>
      <c r="AX345" s="72">
        <f>IFERROR(IF(F343="IMD",0,INDEX('2023 OP UPL Data'!L:L,MATCH(A:A,'2023 OP UPL Data'!B:B,0))),0)</f>
        <v>1669506.29</v>
      </c>
      <c r="AY345" s="45">
        <f t="shared" si="147"/>
        <v>4083976.18</v>
      </c>
      <c r="AZ345" s="72">
        <v>6239138.1142048109</v>
      </c>
      <c r="BA345" s="72">
        <v>2240928.9252152895</v>
      </c>
      <c r="BB345" s="72">
        <f t="shared" si="148"/>
        <v>5033905.4104849007</v>
      </c>
      <c r="BC345" s="72">
        <f t="shared" si="148"/>
        <v>1544880.2049110797</v>
      </c>
      <c r="BD345" s="72">
        <f t="shared" si="149"/>
        <v>6578785.61539598</v>
      </c>
      <c r="BE345" s="94">
        <f t="shared" si="150"/>
        <v>3824668.2242048108</v>
      </c>
      <c r="BF345" s="94">
        <f t="shared" si="150"/>
        <v>571422.63521528943</v>
      </c>
      <c r="BG345" s="73">
        <f>IFERROR(INDEX('2023 IP UPL Data'!K:K,MATCH(A345,'2023 IP UPL Data'!B:B,0)),0)</f>
        <v>0</v>
      </c>
    </row>
    <row r="346" spans="1:59">
      <c r="A346" s="124" t="s">
        <v>1295</v>
      </c>
      <c r="B346" s="149" t="s">
        <v>1295</v>
      </c>
      <c r="C346" s="31" t="s">
        <v>1296</v>
      </c>
      <c r="D346" s="181" t="s">
        <v>1296</v>
      </c>
      <c r="E346" s="144" t="s">
        <v>3574</v>
      </c>
      <c r="F346" s="120" t="s">
        <v>2718</v>
      </c>
      <c r="G346" s="120" t="s">
        <v>487</v>
      </c>
      <c r="H346" s="43" t="str">
        <f t="shared" si="130"/>
        <v>Urban Bexar</v>
      </c>
      <c r="I346" s="45">
        <f>INDEX(FeeCalc!M:M,MATCH(C:C,FeeCalc!F:F,0))</f>
        <v>52669383.662667319</v>
      </c>
      <c r="J346" s="45">
        <f>INDEX(FeeCalc!L:L,MATCH(C:C,FeeCalc!F:F,0))</f>
        <v>22576973.976599921</v>
      </c>
      <c r="K346" s="45">
        <f t="shared" si="131"/>
        <v>75246357.639267236</v>
      </c>
      <c r="L346" s="45">
        <f>IFERROR(IFERROR(INDEX('2023 IP UPL Data'!N:N,MATCH(A:A,'2023 IP UPL Data'!B:B,0)),INDEX('2023 IMD UPL Data'!M:M,MATCH(A:A,'2023 IMD UPL Data'!B:B,0))),0)</f>
        <v>38952362.985828206</v>
      </c>
      <c r="M346" s="45">
        <f>IFERROR((IF(F346="IMD",0,INDEX('2023 OP UPL Data'!M:M,MATCH(A:A,'2023 OP UPL Data'!B:B,0)))),0)</f>
        <v>19147157.492453981</v>
      </c>
      <c r="N346" s="45">
        <f t="shared" si="132"/>
        <v>58099520.478282183</v>
      </c>
      <c r="O346" s="45">
        <v>120112332.6562085</v>
      </c>
      <c r="P346" s="45">
        <v>21977952.896278124</v>
      </c>
      <c r="Q346" s="45">
        <f t="shared" si="133"/>
        <v>142090285.55248663</v>
      </c>
      <c r="R346" s="45" t="str">
        <f t="shared" si="134"/>
        <v>Yes</v>
      </c>
      <c r="S346" s="46" t="str">
        <f t="shared" si="134"/>
        <v>Yes</v>
      </c>
      <c r="T346" s="47">
        <f>ROUND(INDEX(Summary!H:H,MATCH(H:H,Summary!A:A,0)),2)</f>
        <v>0.71</v>
      </c>
      <c r="U346" s="47">
        <f>ROUND(INDEX(Summary!I:I,MATCH(H:H,Summary!A:A,0)),2)</f>
        <v>0.67</v>
      </c>
      <c r="V346" s="85">
        <f t="shared" si="135"/>
        <v>37395262.400493793</v>
      </c>
      <c r="W346" s="85">
        <f t="shared" si="135"/>
        <v>15126572.564321948</v>
      </c>
      <c r="X346" s="45">
        <f t="shared" si="136"/>
        <v>52521834.964815743</v>
      </c>
      <c r="Y346" s="45" t="s">
        <v>3223</v>
      </c>
      <c r="Z346" s="45" t="str">
        <f t="shared" si="137"/>
        <v>Yes</v>
      </c>
      <c r="AA346" s="45" t="str">
        <f t="shared" si="137"/>
        <v>Yes</v>
      </c>
      <c r="AB346" s="45" t="str">
        <f t="shared" si="138"/>
        <v>Yes</v>
      </c>
      <c r="AC346" s="86">
        <f t="shared" si="151"/>
        <v>1.0900000000000001</v>
      </c>
      <c r="AD346" s="86">
        <f t="shared" si="152"/>
        <v>0.21</v>
      </c>
      <c r="AE346" s="45">
        <f t="shared" si="153"/>
        <v>57409628.192307383</v>
      </c>
      <c r="AF346" s="45">
        <f t="shared" si="153"/>
        <v>4741164.5350859836</v>
      </c>
      <c r="AG346" s="45">
        <f t="shared" si="139"/>
        <v>62150792.727393366</v>
      </c>
      <c r="AH346" s="47">
        <f>IF(Y346="No",0,IFERROR(ROUNDDOWN(INDEX('90% of ACR'!K:K,MATCH(H:H,'90% of ACR'!A:A,0))*IF(I346&gt;0,IF(O346&gt;0,$R$4*MAX(O346-V346,0),0),0)/I346,2),0))</f>
        <v>0.81</v>
      </c>
      <c r="AI346" s="86">
        <f>IF(Y346="No",0,IFERROR(ROUNDDOWN(INDEX('90% of ACR'!R:R,MATCH(H:H,'90% of ACR'!A:A,0))*IF(J346&gt;0,IF(P346&gt;0,$R$4*MAX(P346-W346,0),0),0)/J346,2),0))</f>
        <v>0.13</v>
      </c>
      <c r="AJ346" s="45">
        <f t="shared" si="140"/>
        <v>42662200.766760528</v>
      </c>
      <c r="AK346" s="45">
        <f t="shared" si="140"/>
        <v>2935006.61695799</v>
      </c>
      <c r="AL346" s="47">
        <f t="shared" si="141"/>
        <v>1.52</v>
      </c>
      <c r="AM346" s="47">
        <f t="shared" si="141"/>
        <v>0.8</v>
      </c>
      <c r="AN346" s="87">
        <f>IFERROR(INDEX(FeeCalc!P:P,MATCH(C346,FeeCalc!F:F,0)),0)</f>
        <v>98119042.348534271</v>
      </c>
      <c r="AO346" s="87">
        <f>IFERROR(INDEX(FeeCalc!S:S,MATCH(C346,FeeCalc!F:F,0)),0)</f>
        <v>6076052.8884854354</v>
      </c>
      <c r="AP346" s="87">
        <f t="shared" si="142"/>
        <v>104195095.2370197</v>
      </c>
      <c r="AQ346" s="72">
        <f t="shared" si="143"/>
        <v>44213313.152115047</v>
      </c>
      <c r="AR346" s="72">
        <f t="shared" si="144"/>
        <v>22106656.576057523</v>
      </c>
      <c r="AS346" s="72">
        <f t="shared" si="145"/>
        <v>22106656.576057523</v>
      </c>
      <c r="AT346" s="72">
        <f>IFERROR(IFERROR(INDEX('2023 IP UPL Data'!L:L,MATCH(A:A,'2023 IP UPL Data'!B:B,0)),INDEX('2023 IMD UPL Data'!I:I,MATCH(A:A,'2023 IMD UPL Data'!B:B,0))),0)</f>
        <v>41681057.644171789</v>
      </c>
      <c r="AU346" s="72">
        <f>IFERROR(IF(F344="IMD",0,INDEX('2023 OP UPL Data'!J:J,MATCH(A:A,'2023 OP UPL Data'!B:B,0))),0)</f>
        <v>9308533.7975460179</v>
      </c>
      <c r="AV346" s="45">
        <f t="shared" si="146"/>
        <v>50989591.441717803</v>
      </c>
      <c r="AW346" s="72">
        <f>IFERROR(IFERROR(INDEX('2023 IP UPL Data'!M:M,MATCH(A:A,'2023 IP UPL Data'!B:B,0)),INDEX('2023 IMD UPL Data'!K:K,MATCH(A:A,'2023 IMD UPL Data'!B:B,0))),0)</f>
        <v>80633420.629999995</v>
      </c>
      <c r="AX346" s="72">
        <f>IFERROR(IF(F344="IMD",0,INDEX('2023 OP UPL Data'!L:L,MATCH(A:A,'2023 OP UPL Data'!B:B,0))),0)</f>
        <v>28455691.289999999</v>
      </c>
      <c r="AY346" s="45">
        <f t="shared" si="147"/>
        <v>109089111.91999999</v>
      </c>
      <c r="AZ346" s="72">
        <v>161793390.30038029</v>
      </c>
      <c r="BA346" s="72">
        <v>31286486.693824142</v>
      </c>
      <c r="BB346" s="72">
        <f t="shared" si="148"/>
        <v>124398127.89988649</v>
      </c>
      <c r="BC346" s="72">
        <f t="shared" si="148"/>
        <v>16159914.129502194</v>
      </c>
      <c r="BD346" s="72">
        <f t="shared" si="149"/>
        <v>140558042.0293887</v>
      </c>
      <c r="BE346" s="94">
        <f t="shared" si="150"/>
        <v>81159969.670380294</v>
      </c>
      <c r="BF346" s="94">
        <f t="shared" si="150"/>
        <v>2830795.4038241431</v>
      </c>
      <c r="BG346" s="73">
        <f>IFERROR(INDEX('2023 IP UPL Data'!K:K,MATCH(A346,'2023 IP UPL Data'!B:B,0)),0)</f>
        <v>0</v>
      </c>
    </row>
    <row r="347" spans="1:59">
      <c r="A347" s="124" t="s">
        <v>1370</v>
      </c>
      <c r="B347" s="184" t="s">
        <v>1370</v>
      </c>
      <c r="C347" s="31" t="s">
        <v>1371</v>
      </c>
      <c r="D347" s="181" t="s">
        <v>1371</v>
      </c>
      <c r="E347" s="144" t="s">
        <v>3575</v>
      </c>
      <c r="F347" s="120" t="s">
        <v>2718</v>
      </c>
      <c r="G347" s="120" t="s">
        <v>1517</v>
      </c>
      <c r="H347" s="43" t="str">
        <f t="shared" si="130"/>
        <v>Urban Hidalgo</v>
      </c>
      <c r="I347" s="45">
        <f>INDEX(FeeCalc!M:M,MATCH(C:C,FeeCalc!F:F,0))</f>
        <v>14855458.347723385</v>
      </c>
      <c r="J347" s="45">
        <f>INDEX(FeeCalc!L:L,MATCH(C:C,FeeCalc!F:F,0))</f>
        <v>8657508.7204276174</v>
      </c>
      <c r="K347" s="45">
        <f t="shared" si="131"/>
        <v>23512967.068151005</v>
      </c>
      <c r="L347" s="45">
        <f>IFERROR(IFERROR(INDEX('2023 IP UPL Data'!N:N,MATCH(A:A,'2023 IP UPL Data'!B:B,0)),INDEX('2023 IMD UPL Data'!M:M,MATCH(A:A,'2023 IMD UPL Data'!B:B,0))),0)</f>
        <v>9592471.2943786997</v>
      </c>
      <c r="M347" s="45">
        <f>IFERROR((IF(F347="IMD",0,INDEX('2023 OP UPL Data'!M:M,MATCH(A:A,'2023 OP UPL Data'!B:B,0)))),0)</f>
        <v>7722395.7730177511</v>
      </c>
      <c r="N347" s="45">
        <f t="shared" si="132"/>
        <v>17314867.067396451</v>
      </c>
      <c r="O347" s="45">
        <v>43637146.673300676</v>
      </c>
      <c r="P347" s="45">
        <v>14458264.019178465</v>
      </c>
      <c r="Q347" s="45">
        <f t="shared" si="133"/>
        <v>58095410.692479141</v>
      </c>
      <c r="R347" s="45" t="str">
        <f t="shared" si="134"/>
        <v>Yes</v>
      </c>
      <c r="S347" s="46" t="str">
        <f t="shared" si="134"/>
        <v>Yes</v>
      </c>
      <c r="T347" s="47">
        <f>ROUND(INDEX(Summary!H:H,MATCH(H:H,Summary!A:A,0)),2)</f>
        <v>1.21</v>
      </c>
      <c r="U347" s="47">
        <f>ROUND(INDEX(Summary!I:I,MATCH(H:H,Summary!A:A,0)),2)</f>
        <v>0.94</v>
      </c>
      <c r="V347" s="85">
        <f t="shared" si="135"/>
        <v>17975104.600745294</v>
      </c>
      <c r="W347" s="85">
        <f t="shared" si="135"/>
        <v>8138058.1972019598</v>
      </c>
      <c r="X347" s="45">
        <f t="shared" si="136"/>
        <v>26113162.797947254</v>
      </c>
      <c r="Y347" s="45" t="s">
        <v>3223</v>
      </c>
      <c r="Z347" s="45" t="str">
        <f t="shared" si="137"/>
        <v>Yes</v>
      </c>
      <c r="AA347" s="45" t="str">
        <f t="shared" si="137"/>
        <v>Yes</v>
      </c>
      <c r="AB347" s="45" t="str">
        <f t="shared" si="138"/>
        <v>Yes</v>
      </c>
      <c r="AC347" s="86">
        <f t="shared" si="151"/>
        <v>1.2</v>
      </c>
      <c r="AD347" s="86">
        <f t="shared" si="152"/>
        <v>0.51</v>
      </c>
      <c r="AE347" s="45">
        <f t="shared" si="153"/>
        <v>17826550.017268062</v>
      </c>
      <c r="AF347" s="45">
        <f t="shared" si="153"/>
        <v>4415329.4474180853</v>
      </c>
      <c r="AG347" s="45">
        <f t="shared" si="139"/>
        <v>22241879.464686148</v>
      </c>
      <c r="AH347" s="47">
        <f>IF(Y347="No",0,IFERROR(ROUNDDOWN(INDEX('90% of ACR'!K:K,MATCH(H:H,'90% of ACR'!A:A,0))*IF(I347&gt;0,IF(O347&gt;0,$R$4*MAX(O347-V347,0),0),0)/I347,2),0))</f>
        <v>1.1599999999999999</v>
      </c>
      <c r="AI347" s="86">
        <f>IF(Y347="No",0,IFERROR(ROUNDDOWN(INDEX('90% of ACR'!R:R,MATCH(H:H,'90% of ACR'!A:A,0))*IF(J347&gt;0,IF(P347&gt;0,$R$4*MAX(P347-W347,0),0),0)/J347,2),0))</f>
        <v>0.37</v>
      </c>
      <c r="AJ347" s="45">
        <f t="shared" si="140"/>
        <v>17232331.683359127</v>
      </c>
      <c r="AK347" s="45">
        <f t="shared" si="140"/>
        <v>3203278.2265582182</v>
      </c>
      <c r="AL347" s="47">
        <f t="shared" si="141"/>
        <v>2.37</v>
      </c>
      <c r="AM347" s="47">
        <f t="shared" si="141"/>
        <v>1.31</v>
      </c>
      <c r="AN347" s="87">
        <f>IFERROR(INDEX(FeeCalc!P:P,MATCH(C347,FeeCalc!F:F,0)),0)</f>
        <v>46548772.707864597</v>
      </c>
      <c r="AO347" s="87">
        <f>IFERROR(INDEX(FeeCalc!S:S,MATCH(C347,FeeCalc!F:F,0)),0)</f>
        <v>2884605.7804591758</v>
      </c>
      <c r="AP347" s="87">
        <f t="shared" si="142"/>
        <v>49433378.48832377</v>
      </c>
      <c r="AQ347" s="72">
        <f t="shared" si="143"/>
        <v>20976164.360707402</v>
      </c>
      <c r="AR347" s="72">
        <f t="shared" si="144"/>
        <v>10488082.180353701</v>
      </c>
      <c r="AS347" s="72">
        <f t="shared" si="145"/>
        <v>10488082.180353701</v>
      </c>
      <c r="AT347" s="72">
        <f>IFERROR(IFERROR(INDEX('2023 IP UPL Data'!L:L,MATCH(A:A,'2023 IP UPL Data'!B:B,0)),INDEX('2023 IMD UPL Data'!I:I,MATCH(A:A,'2023 IMD UPL Data'!B:B,0))),0)</f>
        <v>16235481.4556213</v>
      </c>
      <c r="AU347" s="72">
        <f>IFERROR(IF(F345="IMD",0,INDEX('2023 OP UPL Data'!J:J,MATCH(A:A,'2023 OP UPL Data'!B:B,0))),0)</f>
        <v>4539993.7869822495</v>
      </c>
      <c r="AV347" s="45">
        <f t="shared" si="146"/>
        <v>20775475.242603548</v>
      </c>
      <c r="AW347" s="72">
        <f>IFERROR(IFERROR(INDEX('2023 IP UPL Data'!M:M,MATCH(A:A,'2023 IP UPL Data'!B:B,0)),INDEX('2023 IMD UPL Data'!K:K,MATCH(A:A,'2023 IMD UPL Data'!B:B,0))),0)</f>
        <v>25827952.75</v>
      </c>
      <c r="AX347" s="72">
        <f>IFERROR(IF(F345="IMD",0,INDEX('2023 OP UPL Data'!L:L,MATCH(A:A,'2023 OP UPL Data'!B:B,0))),0)</f>
        <v>12262389.560000001</v>
      </c>
      <c r="AY347" s="45">
        <f t="shared" si="147"/>
        <v>38090342.310000002</v>
      </c>
      <c r="AZ347" s="72">
        <v>59872628.128921978</v>
      </c>
      <c r="BA347" s="72">
        <v>18998257.806160714</v>
      </c>
      <c r="BB347" s="72">
        <f t="shared" si="148"/>
        <v>41897523.52817668</v>
      </c>
      <c r="BC347" s="72">
        <f t="shared" si="148"/>
        <v>10860199.608958755</v>
      </c>
      <c r="BD347" s="72">
        <f t="shared" si="149"/>
        <v>52757723.137135431</v>
      </c>
      <c r="BE347" s="94">
        <f t="shared" si="150"/>
        <v>34044675.378921978</v>
      </c>
      <c r="BF347" s="94">
        <f t="shared" si="150"/>
        <v>6735868.246160714</v>
      </c>
      <c r="BG347" s="73">
        <f>IFERROR(INDEX('2023 IP UPL Data'!K:K,MATCH(A347,'2023 IP UPL Data'!B:B,0)),0)</f>
        <v>0</v>
      </c>
    </row>
    <row r="348" spans="1:59">
      <c r="A348" s="124" t="s">
        <v>1158</v>
      </c>
      <c r="B348" s="149" t="s">
        <v>1158</v>
      </c>
      <c r="C348" s="31" t="s">
        <v>1159</v>
      </c>
      <c r="D348" s="181" t="s">
        <v>1159</v>
      </c>
      <c r="E348" s="144" t="s">
        <v>3576</v>
      </c>
      <c r="F348" s="120" t="s">
        <v>2718</v>
      </c>
      <c r="G348" s="120" t="s">
        <v>1517</v>
      </c>
      <c r="H348" s="43" t="str">
        <f t="shared" si="130"/>
        <v>Urban Hidalgo</v>
      </c>
      <c r="I348" s="45">
        <f>INDEX(FeeCalc!M:M,MATCH(C:C,FeeCalc!F:F,0))</f>
        <v>9679614.6506535411</v>
      </c>
      <c r="J348" s="45">
        <f>INDEX(FeeCalc!L:L,MATCH(C:C,FeeCalc!F:F,0))</f>
        <v>4149510.9814609908</v>
      </c>
      <c r="K348" s="45">
        <f t="shared" si="131"/>
        <v>13829125.632114531</v>
      </c>
      <c r="L348" s="45">
        <f>IFERROR(IFERROR(INDEX('2023 IP UPL Data'!N:N,MATCH(A:A,'2023 IP UPL Data'!B:B,0)),INDEX('2023 IMD UPL Data'!M:M,MATCH(A:A,'2023 IMD UPL Data'!B:B,0))),0)</f>
        <v>7111984.7197633162</v>
      </c>
      <c r="M348" s="45">
        <f>IFERROR((IF(F348="IMD",0,INDEX('2023 OP UPL Data'!M:M,MATCH(A:A,'2023 OP UPL Data'!B:B,0)))),0)</f>
        <v>4847976.2038461529</v>
      </c>
      <c r="N348" s="45">
        <f t="shared" si="132"/>
        <v>11959960.923609469</v>
      </c>
      <c r="O348" s="45">
        <v>28300871.051469713</v>
      </c>
      <c r="P348" s="45">
        <v>8104820.1801849147</v>
      </c>
      <c r="Q348" s="45">
        <f t="shared" si="133"/>
        <v>36405691.231654629</v>
      </c>
      <c r="R348" s="45" t="str">
        <f t="shared" si="134"/>
        <v>Yes</v>
      </c>
      <c r="S348" s="46" t="str">
        <f t="shared" si="134"/>
        <v>Yes</v>
      </c>
      <c r="T348" s="47">
        <f>ROUND(INDEX(Summary!H:H,MATCH(H:H,Summary!A:A,0)),2)</f>
        <v>1.21</v>
      </c>
      <c r="U348" s="47">
        <f>ROUND(INDEX(Summary!I:I,MATCH(H:H,Summary!A:A,0)),2)</f>
        <v>0.94</v>
      </c>
      <c r="V348" s="85">
        <f t="shared" si="135"/>
        <v>11712333.727290785</v>
      </c>
      <c r="W348" s="85">
        <f t="shared" si="135"/>
        <v>3900540.3225733312</v>
      </c>
      <c r="X348" s="45">
        <f t="shared" si="136"/>
        <v>15612874.049864117</v>
      </c>
      <c r="Y348" s="45" t="s">
        <v>3223</v>
      </c>
      <c r="Z348" s="45" t="str">
        <f t="shared" si="137"/>
        <v>Yes</v>
      </c>
      <c r="AA348" s="45" t="str">
        <f t="shared" si="137"/>
        <v>Yes</v>
      </c>
      <c r="AB348" s="45" t="str">
        <f t="shared" si="138"/>
        <v>Yes</v>
      </c>
      <c r="AC348" s="86">
        <f t="shared" si="151"/>
        <v>1.19</v>
      </c>
      <c r="AD348" s="86">
        <f t="shared" si="152"/>
        <v>0.71</v>
      </c>
      <c r="AE348" s="45">
        <f t="shared" si="153"/>
        <v>11518741.434277713</v>
      </c>
      <c r="AF348" s="45">
        <f t="shared" si="153"/>
        <v>2946152.7968373033</v>
      </c>
      <c r="AG348" s="45">
        <f t="shared" si="139"/>
        <v>14464894.231115017</v>
      </c>
      <c r="AH348" s="47">
        <f>IF(Y348="No",0,IFERROR(ROUNDDOWN(INDEX('90% of ACR'!K:K,MATCH(H:H,'90% of ACR'!A:A,0))*IF(I348&gt;0,IF(O348&gt;0,$R$4*MAX(O348-V348,0),0),0)/I348,2),0))</f>
        <v>1.1499999999999999</v>
      </c>
      <c r="AI348" s="86">
        <f>IF(Y348="No",0,IFERROR(ROUNDDOWN(INDEX('90% of ACR'!R:R,MATCH(H:H,'90% of ACR'!A:A,0))*IF(J348&gt;0,IF(P348&gt;0,$R$4*MAX(P348-W348,0),0),0)/J348,2),0))</f>
        <v>0.51</v>
      </c>
      <c r="AJ348" s="45">
        <f t="shared" si="140"/>
        <v>11131556.848251572</v>
      </c>
      <c r="AK348" s="45">
        <f t="shared" si="140"/>
        <v>2116250.6005451055</v>
      </c>
      <c r="AL348" s="47">
        <f t="shared" si="141"/>
        <v>2.36</v>
      </c>
      <c r="AM348" s="47">
        <f t="shared" si="141"/>
        <v>1.45</v>
      </c>
      <c r="AN348" s="87">
        <f>IFERROR(INDEX(FeeCalc!P:P,MATCH(C348,FeeCalc!F:F,0)),0)</f>
        <v>28860681.498660795</v>
      </c>
      <c r="AO348" s="87">
        <f>IFERROR(INDEX(FeeCalc!S:S,MATCH(C348,FeeCalc!F:F,0)),0)</f>
        <v>1791307.0209597936</v>
      </c>
      <c r="AP348" s="87">
        <f t="shared" si="142"/>
        <v>30651988.51962059</v>
      </c>
      <c r="AQ348" s="72">
        <f t="shared" si="143"/>
        <v>13006619.592507645</v>
      </c>
      <c r="AR348" s="72">
        <f t="shared" si="144"/>
        <v>6503309.7962538227</v>
      </c>
      <c r="AS348" s="72">
        <f t="shared" si="145"/>
        <v>6503309.7962538227</v>
      </c>
      <c r="AT348" s="72">
        <f>IFERROR(IFERROR(INDEX('2023 IP UPL Data'!L:L,MATCH(A:A,'2023 IP UPL Data'!B:B,0)),INDEX('2023 IMD UPL Data'!I:I,MATCH(A:A,'2023 IMD UPL Data'!B:B,0))),0)</f>
        <v>9487342.8402366843</v>
      </c>
      <c r="AU348" s="72">
        <f>IFERROR(IF(F346="IMD",0,INDEX('2023 OP UPL Data'!J:J,MATCH(A:A,'2023 OP UPL Data'!B:B,0))),0)</f>
        <v>2042344.8461538467</v>
      </c>
      <c r="AV348" s="45">
        <f t="shared" si="146"/>
        <v>11529687.68639053</v>
      </c>
      <c r="AW348" s="72">
        <f>IFERROR(IFERROR(INDEX('2023 IP UPL Data'!M:M,MATCH(A:A,'2023 IP UPL Data'!B:B,0)),INDEX('2023 IMD UPL Data'!K:K,MATCH(A:A,'2023 IMD UPL Data'!B:B,0))),0)</f>
        <v>16599327.560000001</v>
      </c>
      <c r="AX348" s="72">
        <f>IFERROR(IF(F346="IMD",0,INDEX('2023 OP UPL Data'!L:L,MATCH(A:A,'2023 OP UPL Data'!B:B,0))),0)</f>
        <v>6890321.0499999998</v>
      </c>
      <c r="AY348" s="45">
        <f t="shared" si="147"/>
        <v>23489648.609999999</v>
      </c>
      <c r="AZ348" s="72">
        <v>37788213.8917064</v>
      </c>
      <c r="BA348" s="72">
        <v>10147165.026338762</v>
      </c>
      <c r="BB348" s="72">
        <f t="shared" si="148"/>
        <v>26075880.164415613</v>
      </c>
      <c r="BC348" s="72">
        <f t="shared" si="148"/>
        <v>6246624.7037654305</v>
      </c>
      <c r="BD348" s="72">
        <f t="shared" si="149"/>
        <v>32322504.868181046</v>
      </c>
      <c r="BE348" s="94">
        <f t="shared" si="150"/>
        <v>21188886.331706397</v>
      </c>
      <c r="BF348" s="94">
        <f t="shared" si="150"/>
        <v>3256843.9763387619</v>
      </c>
      <c r="BG348" s="73">
        <f>IFERROR(INDEX('2023 IP UPL Data'!K:K,MATCH(A348,'2023 IP UPL Data'!B:B,0)),0)</f>
        <v>0</v>
      </c>
    </row>
    <row r="349" spans="1:59">
      <c r="A349" s="124" t="s">
        <v>359</v>
      </c>
      <c r="B349" s="149" t="s">
        <v>359</v>
      </c>
      <c r="C349" s="31" t="s">
        <v>360</v>
      </c>
      <c r="D349" s="181" t="s">
        <v>360</v>
      </c>
      <c r="E349" s="144" t="s">
        <v>3150</v>
      </c>
      <c r="F349" s="120" t="s">
        <v>2768</v>
      </c>
      <c r="G349" s="120" t="s">
        <v>227</v>
      </c>
      <c r="H349" s="43" t="str">
        <f t="shared" si="130"/>
        <v>Rural MRSA West</v>
      </c>
      <c r="I349" s="45">
        <f>INDEX(FeeCalc!M:M,MATCH(C:C,FeeCalc!F:F,0))</f>
        <v>1044410.0366021319</v>
      </c>
      <c r="J349" s="45">
        <f>INDEX(FeeCalc!L:L,MATCH(C:C,FeeCalc!F:F,0))</f>
        <v>874761.48265675758</v>
      </c>
      <c r="K349" s="45">
        <f t="shared" si="131"/>
        <v>1919171.5192588894</v>
      </c>
      <c r="L349" s="45">
        <f>IFERROR(IFERROR(INDEX('2023 IP UPL Data'!N:N,MATCH(A:A,'2023 IP UPL Data'!B:B,0)),INDEX('2023 IMD UPL Data'!M:M,MATCH(A:A,'2023 IMD UPL Data'!B:B,0))),0)</f>
        <v>31158.236145659466</v>
      </c>
      <c r="M349" s="45">
        <f>IFERROR((IF(F349="IMD",0,INDEX('2023 OP UPL Data'!M:M,MATCH(A:A,'2023 OP UPL Data'!B:B,0)))),0)</f>
        <v>360927.30425000004</v>
      </c>
      <c r="N349" s="45">
        <f t="shared" si="132"/>
        <v>392085.54039565951</v>
      </c>
      <c r="O349" s="45">
        <v>-286999.78240844794</v>
      </c>
      <c r="P349" s="45">
        <v>393850.75496945309</v>
      </c>
      <c r="Q349" s="45">
        <f t="shared" si="133"/>
        <v>106850.97256100515</v>
      </c>
      <c r="R349" s="45" t="str">
        <f t="shared" si="134"/>
        <v>No</v>
      </c>
      <c r="S349" s="46" t="str">
        <f t="shared" si="134"/>
        <v>Yes</v>
      </c>
      <c r="T349" s="47">
        <f>ROUND(INDEX(Summary!H:H,MATCH(H:H,Summary!A:A,0)),2)</f>
        <v>0</v>
      </c>
      <c r="U349" s="47">
        <f>ROUND(INDEX(Summary!I:I,MATCH(H:H,Summary!A:A,0)),2)</f>
        <v>0.28999999999999998</v>
      </c>
      <c r="V349" s="85">
        <f t="shared" si="135"/>
        <v>0</v>
      </c>
      <c r="W349" s="85">
        <f t="shared" si="135"/>
        <v>253680.82997045969</v>
      </c>
      <c r="X349" s="45">
        <f t="shared" si="136"/>
        <v>253680.82997045969</v>
      </c>
      <c r="Y349" s="45" t="s">
        <v>3223</v>
      </c>
      <c r="Z349" s="45" t="str">
        <f t="shared" si="137"/>
        <v>No</v>
      </c>
      <c r="AA349" s="45" t="str">
        <f t="shared" si="137"/>
        <v>Yes</v>
      </c>
      <c r="AB349" s="45" t="str">
        <f t="shared" si="138"/>
        <v>Yes</v>
      </c>
      <c r="AC349" s="86">
        <f t="shared" si="151"/>
        <v>0</v>
      </c>
      <c r="AD349" s="86">
        <f t="shared" si="152"/>
        <v>0.11</v>
      </c>
      <c r="AE349" s="45">
        <f t="shared" si="153"/>
        <v>0</v>
      </c>
      <c r="AF349" s="45">
        <f t="shared" si="153"/>
        <v>96223.763092243331</v>
      </c>
      <c r="AG349" s="45">
        <f t="shared" si="139"/>
        <v>96223.763092243331</v>
      </c>
      <c r="AH349" s="47">
        <f>IF(Y349="No",0,IFERROR(ROUNDDOWN(INDEX('90% of ACR'!K:K,MATCH(H:H,'90% of ACR'!A:A,0))*IF(I349&gt;0,IF(O349&gt;0,$R$4*MAX(O349-V349,0),0),0)/I349,2),0))</f>
        <v>0</v>
      </c>
      <c r="AI349" s="86">
        <f>IF(Y349="No",0,IFERROR(ROUNDDOWN(INDEX('90% of ACR'!R:R,MATCH(H:H,'90% of ACR'!A:A,0))*IF(J349&gt;0,IF(P349&gt;0,$R$4*MAX(P349-W349,0),0),0)/J349,2),0))</f>
        <v>0.11</v>
      </c>
      <c r="AJ349" s="45">
        <f t="shared" si="140"/>
        <v>0</v>
      </c>
      <c r="AK349" s="45">
        <f t="shared" si="140"/>
        <v>96223.763092243331</v>
      </c>
      <c r="AL349" s="47">
        <f t="shared" si="141"/>
        <v>0</v>
      </c>
      <c r="AM349" s="47">
        <f t="shared" si="141"/>
        <v>0.39999999999999997</v>
      </c>
      <c r="AN349" s="87">
        <f>IFERROR(INDEX(FeeCalc!P:P,MATCH(C349,FeeCalc!F:F,0)),0)</f>
        <v>349904.59306270297</v>
      </c>
      <c r="AO349" s="87">
        <f>IFERROR(INDEX(FeeCalc!S:S,MATCH(C349,FeeCalc!F:F,0)),0)</f>
        <v>21478.450680461425</v>
      </c>
      <c r="AP349" s="87">
        <f t="shared" si="142"/>
        <v>371383.04374316439</v>
      </c>
      <c r="AQ349" s="72">
        <f t="shared" si="143"/>
        <v>157589.70971762444</v>
      </c>
      <c r="AR349" s="72">
        <f t="shared" si="144"/>
        <v>78794.854858812221</v>
      </c>
      <c r="AS349" s="72">
        <f t="shared" si="145"/>
        <v>78794.854858812221</v>
      </c>
      <c r="AT349" s="72">
        <f>IFERROR(IFERROR(INDEX('2023 IP UPL Data'!L:L,MATCH(A:A,'2023 IP UPL Data'!B:B,0)),INDEX('2023 IMD UPL Data'!I:I,MATCH(A:A,'2023 IMD UPL Data'!B:B,0))),0)</f>
        <v>787406.53385434055</v>
      </c>
      <c r="AU349" s="72">
        <f>IFERROR(IF(F347="IMD",0,INDEX('2023 OP UPL Data'!J:J,MATCH(A:A,'2023 OP UPL Data'!B:B,0))),0)</f>
        <v>197670.57574999999</v>
      </c>
      <c r="AV349" s="45">
        <f t="shared" si="146"/>
        <v>985077.10960434051</v>
      </c>
      <c r="AW349" s="72">
        <f>IFERROR(IFERROR(INDEX('2023 IP UPL Data'!M:M,MATCH(A:A,'2023 IP UPL Data'!B:B,0)),INDEX('2023 IMD UPL Data'!K:K,MATCH(A:A,'2023 IMD UPL Data'!B:B,0))),0)</f>
        <v>818564.77</v>
      </c>
      <c r="AX349" s="72">
        <f>IFERROR(IF(F347="IMD",0,INDEX('2023 OP UPL Data'!L:L,MATCH(A:A,'2023 OP UPL Data'!B:B,0))),0)</f>
        <v>558597.88</v>
      </c>
      <c r="AY349" s="45">
        <f t="shared" si="147"/>
        <v>1377162.65</v>
      </c>
      <c r="AZ349" s="72">
        <v>500406.75144589262</v>
      </c>
      <c r="BA349" s="72">
        <v>591521.33071945305</v>
      </c>
      <c r="BB349" s="72">
        <f t="shared" si="148"/>
        <v>500406.75144589262</v>
      </c>
      <c r="BC349" s="72">
        <f t="shared" si="148"/>
        <v>337840.50074899336</v>
      </c>
      <c r="BD349" s="72">
        <f t="shared" si="149"/>
        <v>838247.25219488586</v>
      </c>
      <c r="BE349" s="94">
        <f t="shared" si="150"/>
        <v>0</v>
      </c>
      <c r="BF349" s="94">
        <f t="shared" si="150"/>
        <v>32923.450719453045</v>
      </c>
      <c r="BG349" s="73">
        <f>IFERROR(INDEX('2023 IP UPL Data'!K:K,MATCH(A349,'2023 IP UPL Data'!B:B,0)),0)</f>
        <v>0</v>
      </c>
    </row>
    <row r="350" spans="1:59" ht="25.5">
      <c r="A350" s="124" t="s">
        <v>1275</v>
      </c>
      <c r="B350" s="149" t="s">
        <v>1275</v>
      </c>
      <c r="C350" s="31" t="s">
        <v>1276</v>
      </c>
      <c r="D350" s="181" t="s">
        <v>1276</v>
      </c>
      <c r="E350" s="144" t="s">
        <v>3337</v>
      </c>
      <c r="F350" s="120" t="s">
        <v>3069</v>
      </c>
      <c r="G350" s="120" t="s">
        <v>1366</v>
      </c>
      <c r="H350" s="43" t="str">
        <f t="shared" si="130"/>
        <v>Non-state-owned IMD Tarrant</v>
      </c>
      <c r="I350" s="45">
        <f>INDEX(FeeCalc!M:M,MATCH(C:C,FeeCalc!F:F,0))</f>
        <v>2429056.5145560945</v>
      </c>
      <c r="J350" s="45">
        <f>INDEX(FeeCalc!L:L,MATCH(C:C,FeeCalc!F:F,0))</f>
        <v>0</v>
      </c>
      <c r="K350" s="45">
        <f t="shared" si="131"/>
        <v>2429056.5145560945</v>
      </c>
      <c r="L350" s="45">
        <f>IFERROR(IFERROR(INDEX('2023 IP UPL Data'!N:N,MATCH(A:A,'2023 IP UPL Data'!B:B,0)),INDEX('2023 IMD UPL Data'!M:M,MATCH(A:A,'2023 IMD UPL Data'!B:B,0))),0)</f>
        <v>1260359.1299999999</v>
      </c>
      <c r="M350" s="45">
        <f>IFERROR((IF(F350="IMD",0,INDEX('2023 OP UPL Data'!M:M,MATCH(A:A,'2023 OP UPL Data'!B:B,0)))),0)</f>
        <v>0</v>
      </c>
      <c r="N350" s="45">
        <f t="shared" si="132"/>
        <v>1260359.1299999999</v>
      </c>
      <c r="O350" s="45">
        <v>1309061.6498878491</v>
      </c>
      <c r="P350" s="45">
        <v>0</v>
      </c>
      <c r="Q350" s="45">
        <f t="shared" si="133"/>
        <v>1309061.6498878491</v>
      </c>
      <c r="R350" s="45" t="str">
        <f t="shared" si="134"/>
        <v>Yes</v>
      </c>
      <c r="S350" s="46" t="str">
        <f t="shared" si="134"/>
        <v>No</v>
      </c>
      <c r="T350" s="47">
        <f>ROUND(INDEX(Summary!H:H,MATCH(H:H,Summary!A:A,0)),2)</f>
        <v>0.37</v>
      </c>
      <c r="U350" s="47">
        <f>ROUND(INDEX(Summary!I:I,MATCH(H:H,Summary!A:A,0)),2)</f>
        <v>0</v>
      </c>
      <c r="V350" s="85">
        <f t="shared" si="135"/>
        <v>898750.91038575501</v>
      </c>
      <c r="W350" s="85">
        <f t="shared" si="135"/>
        <v>0</v>
      </c>
      <c r="X350" s="45">
        <f t="shared" si="136"/>
        <v>898750.91038575501</v>
      </c>
      <c r="Y350" s="45" t="s">
        <v>3223</v>
      </c>
      <c r="Z350" s="45" t="str">
        <f t="shared" si="137"/>
        <v>No</v>
      </c>
      <c r="AA350" s="45" t="str">
        <f t="shared" si="137"/>
        <v>No</v>
      </c>
      <c r="AB350" s="45" t="str">
        <f t="shared" si="138"/>
        <v>Yes</v>
      </c>
      <c r="AC350" s="86">
        <f t="shared" si="151"/>
        <v>0.12</v>
      </c>
      <c r="AD350" s="86">
        <f t="shared" si="152"/>
        <v>0</v>
      </c>
      <c r="AE350" s="45">
        <f t="shared" si="153"/>
        <v>291486.78174673131</v>
      </c>
      <c r="AF350" s="45">
        <f t="shared" si="153"/>
        <v>0</v>
      </c>
      <c r="AG350" s="45">
        <f t="shared" si="139"/>
        <v>291486.78174673131</v>
      </c>
      <c r="AH350" s="47">
        <f>IF(Y350="No",0,IFERROR(ROUNDDOWN(INDEX('90% of ACR'!K:K,MATCH(H:H,'90% of ACR'!A:A,0))*IF(I350&gt;0,IF(O350&gt;0,$R$4*MAX(O350-V350,0),0),0)/I350,2),0))</f>
        <v>0</v>
      </c>
      <c r="AI350" s="86">
        <f>IF(Y350="No",0,IFERROR(ROUNDDOWN(INDEX('90% of ACR'!R:R,MATCH(H:H,'90% of ACR'!A:A,0))*IF(J350&gt;0,IF(P350&gt;0,$R$4*MAX(P350-W350,0),0),0)/J350,2),0))</f>
        <v>0</v>
      </c>
      <c r="AJ350" s="45">
        <f t="shared" si="140"/>
        <v>0</v>
      </c>
      <c r="AK350" s="45">
        <f t="shared" si="140"/>
        <v>0</v>
      </c>
      <c r="AL350" s="47">
        <f t="shared" si="141"/>
        <v>0.37</v>
      </c>
      <c r="AM350" s="47">
        <f t="shared" si="141"/>
        <v>0</v>
      </c>
      <c r="AN350" s="87">
        <f>IFERROR(INDEX(FeeCalc!P:P,MATCH(C350,FeeCalc!F:F,0)),0)</f>
        <v>898750.91038575501</v>
      </c>
      <c r="AO350" s="87">
        <f>IFERROR(INDEX(FeeCalc!S:S,MATCH(C350,FeeCalc!F:F,0)),0)</f>
        <v>54830.957397539423</v>
      </c>
      <c r="AP350" s="87">
        <f t="shared" si="142"/>
        <v>953581.86778329441</v>
      </c>
      <c r="AQ350" s="72">
        <f t="shared" si="143"/>
        <v>404635.30112022092</v>
      </c>
      <c r="AR350" s="72">
        <f t="shared" si="144"/>
        <v>202317.65056011046</v>
      </c>
      <c r="AS350" s="72">
        <f t="shared" si="145"/>
        <v>202317.65056011046</v>
      </c>
      <c r="AT350" s="72">
        <f>IFERROR(IFERROR(INDEX('2023 IP UPL Data'!L:L,MATCH(A:A,'2023 IP UPL Data'!B:B,0)),INDEX('2023 IMD UPL Data'!I:I,MATCH(A:A,'2023 IMD UPL Data'!B:B,0))),0)</f>
        <v>1928104.5</v>
      </c>
      <c r="AU350" s="72">
        <f>IFERROR(IF(F348="IMD",0,INDEX('2023 OP UPL Data'!J:J,MATCH(A:A,'2023 OP UPL Data'!B:B,0))),0)</f>
        <v>0</v>
      </c>
      <c r="AV350" s="45">
        <f t="shared" si="146"/>
        <v>1928104.5</v>
      </c>
      <c r="AW350" s="72">
        <f>IFERROR(IFERROR(INDEX('2023 IP UPL Data'!M:M,MATCH(A:A,'2023 IP UPL Data'!B:B,0)),INDEX('2023 IMD UPL Data'!K:K,MATCH(A:A,'2023 IMD UPL Data'!B:B,0))),0)</f>
        <v>1260359.1299999999</v>
      </c>
      <c r="AX350" s="72">
        <f>IFERROR(IF(F348="IMD",0,INDEX('2023 OP UPL Data'!L:L,MATCH(A:A,'2023 OP UPL Data'!B:B,0))),0)</f>
        <v>0</v>
      </c>
      <c r="AY350" s="45">
        <f t="shared" si="147"/>
        <v>1260359.1299999999</v>
      </c>
      <c r="AZ350" s="72">
        <v>3237166.1498878491</v>
      </c>
      <c r="BA350" s="72">
        <v>0</v>
      </c>
      <c r="BB350" s="72">
        <f t="shared" si="148"/>
        <v>2338415.2395020942</v>
      </c>
      <c r="BC350" s="72">
        <f t="shared" si="148"/>
        <v>0</v>
      </c>
      <c r="BD350" s="72">
        <f t="shared" si="149"/>
        <v>2338415.2395020942</v>
      </c>
      <c r="BE350" s="94">
        <f t="shared" si="150"/>
        <v>1976807.0198878492</v>
      </c>
      <c r="BF350" s="94">
        <f t="shared" si="150"/>
        <v>0</v>
      </c>
      <c r="BG350" s="73">
        <f>IFERROR(INDEX('2023 IP UPL Data'!K:K,MATCH(A350,'2023 IP UPL Data'!B:B,0)),0)</f>
        <v>0</v>
      </c>
    </row>
    <row r="351" spans="1:59">
      <c r="A351" s="124" t="s">
        <v>1567</v>
      </c>
      <c r="B351" s="149" t="s">
        <v>1567</v>
      </c>
      <c r="C351" s="31" t="s">
        <v>1723</v>
      </c>
      <c r="D351" s="181" t="s">
        <v>1723</v>
      </c>
      <c r="E351" s="144" t="s">
        <v>2865</v>
      </c>
      <c r="F351" s="120" t="s">
        <v>2718</v>
      </c>
      <c r="G351" s="120" t="s">
        <v>227</v>
      </c>
      <c r="H351" s="43" t="str">
        <f t="shared" si="130"/>
        <v>Urban MRSA West</v>
      </c>
      <c r="I351" s="45">
        <f>INDEX(FeeCalc!M:M,MATCH(C:C,FeeCalc!F:F,0))</f>
        <v>8012153.9898708668</v>
      </c>
      <c r="J351" s="45">
        <f>INDEX(FeeCalc!L:L,MATCH(C:C,FeeCalc!F:F,0))</f>
        <v>7472042.2547382489</v>
      </c>
      <c r="K351" s="45">
        <f t="shared" si="131"/>
        <v>15484196.244609116</v>
      </c>
      <c r="L351" s="45">
        <f>IFERROR(IFERROR(INDEX('2023 IP UPL Data'!N:N,MATCH(A:A,'2023 IP UPL Data'!B:B,0)),INDEX('2023 IMD UPL Data'!M:M,MATCH(A:A,'2023 IMD UPL Data'!B:B,0))),0)</f>
        <v>5320312.787142857</v>
      </c>
      <c r="M351" s="45">
        <f>IFERROR((IF(F351="IMD",0,INDEX('2023 OP UPL Data'!M:M,MATCH(A:A,'2023 OP UPL Data'!B:B,0)))),0)</f>
        <v>10058501.124285717</v>
      </c>
      <c r="N351" s="45">
        <f t="shared" si="132"/>
        <v>15378813.911428574</v>
      </c>
      <c r="O351" s="45">
        <v>14288606.81664934</v>
      </c>
      <c r="P351" s="45">
        <v>13844057.265549639</v>
      </c>
      <c r="Q351" s="45">
        <f t="shared" si="133"/>
        <v>28132664.082198977</v>
      </c>
      <c r="R351" s="45" t="str">
        <f t="shared" si="134"/>
        <v>Yes</v>
      </c>
      <c r="S351" s="46" t="str">
        <f t="shared" si="134"/>
        <v>Yes</v>
      </c>
      <c r="T351" s="47">
        <f>ROUND(INDEX(Summary!H:H,MATCH(H:H,Summary!A:A,0)),2)</f>
        <v>0.43</v>
      </c>
      <c r="U351" s="47">
        <f>ROUND(INDEX(Summary!I:I,MATCH(H:H,Summary!A:A,0)),2)</f>
        <v>1.18</v>
      </c>
      <c r="V351" s="85">
        <f t="shared" si="135"/>
        <v>3445226.2156444727</v>
      </c>
      <c r="W351" s="85">
        <f t="shared" si="135"/>
        <v>8817009.8605911341</v>
      </c>
      <c r="X351" s="45">
        <f t="shared" si="136"/>
        <v>12262236.076235607</v>
      </c>
      <c r="Y351" s="45" t="s">
        <v>3223</v>
      </c>
      <c r="Z351" s="45" t="str">
        <f t="shared" si="137"/>
        <v>Yes</v>
      </c>
      <c r="AA351" s="45" t="str">
        <f t="shared" si="137"/>
        <v>Yes</v>
      </c>
      <c r="AB351" s="45" t="str">
        <f t="shared" si="138"/>
        <v>Yes</v>
      </c>
      <c r="AC351" s="86">
        <f t="shared" si="151"/>
        <v>0.94</v>
      </c>
      <c r="AD351" s="86">
        <f t="shared" si="152"/>
        <v>0.47</v>
      </c>
      <c r="AE351" s="45">
        <f t="shared" si="153"/>
        <v>7531424.7504786141</v>
      </c>
      <c r="AF351" s="45">
        <f t="shared" si="153"/>
        <v>3511859.8597269766</v>
      </c>
      <c r="AG351" s="45">
        <f t="shared" si="139"/>
        <v>11043284.610205591</v>
      </c>
      <c r="AH351" s="47">
        <f>IF(Y351="No",0,IFERROR(ROUNDDOWN(INDEX('90% of ACR'!K:K,MATCH(H:H,'90% of ACR'!A:A,0))*IF(I351&gt;0,IF(O351&gt;0,$R$4*MAX(O351-V351,0),0),0)/I351,2),0))</f>
        <v>0.94</v>
      </c>
      <c r="AI351" s="86">
        <f>IF(Y351="No",0,IFERROR(ROUNDDOWN(INDEX('90% of ACR'!R:R,MATCH(H:H,'90% of ACR'!A:A,0))*IF(J351&gt;0,IF(P351&gt;0,$R$4*MAX(P351-W351,0),0),0)/J351,2),0))</f>
        <v>0.45</v>
      </c>
      <c r="AJ351" s="45">
        <f t="shared" si="140"/>
        <v>7531424.7504786141</v>
      </c>
      <c r="AK351" s="45">
        <f t="shared" si="140"/>
        <v>3362419.014632212</v>
      </c>
      <c r="AL351" s="47">
        <f t="shared" si="141"/>
        <v>1.3699999999999999</v>
      </c>
      <c r="AM351" s="47">
        <f t="shared" si="141"/>
        <v>1.63</v>
      </c>
      <c r="AN351" s="87">
        <f>IFERROR(INDEX(FeeCalc!P:P,MATCH(C351,FeeCalc!F:F,0)),0)</f>
        <v>23156079.841346432</v>
      </c>
      <c r="AO351" s="87">
        <f>IFERROR(INDEX(FeeCalc!S:S,MATCH(C351,FeeCalc!F:F,0)),0)</f>
        <v>1437108.9654178412</v>
      </c>
      <c r="AP351" s="87">
        <f t="shared" si="142"/>
        <v>24593188.806764271</v>
      </c>
      <c r="AQ351" s="72">
        <f t="shared" si="143"/>
        <v>10435676.992751898</v>
      </c>
      <c r="AR351" s="72">
        <f t="shared" si="144"/>
        <v>5217838.4963759491</v>
      </c>
      <c r="AS351" s="72">
        <f t="shared" si="145"/>
        <v>5217838.4963759491</v>
      </c>
      <c r="AT351" s="72">
        <f>IFERROR(IFERROR(INDEX('2023 IP UPL Data'!L:L,MATCH(A:A,'2023 IP UPL Data'!B:B,0)),INDEX('2023 IMD UPL Data'!I:I,MATCH(A:A,'2023 IMD UPL Data'!B:B,0))),0)</f>
        <v>6585816.0628571426</v>
      </c>
      <c r="AU351" s="72">
        <f>IFERROR(IF(F349="IMD",0,INDEX('2023 OP UPL Data'!J:J,MATCH(A:A,'2023 OP UPL Data'!B:B,0))),0)</f>
        <v>2701013.205714284</v>
      </c>
      <c r="AV351" s="45">
        <f t="shared" si="146"/>
        <v>9286829.2685714271</v>
      </c>
      <c r="AW351" s="72">
        <f>IFERROR(IFERROR(INDEX('2023 IP UPL Data'!M:M,MATCH(A:A,'2023 IP UPL Data'!B:B,0)),INDEX('2023 IMD UPL Data'!K:K,MATCH(A:A,'2023 IMD UPL Data'!B:B,0))),0)</f>
        <v>11906128.85</v>
      </c>
      <c r="AX351" s="72">
        <f>IFERROR(IF(F349="IMD",0,INDEX('2023 OP UPL Data'!L:L,MATCH(A:A,'2023 OP UPL Data'!B:B,0))),0)</f>
        <v>12759514.33</v>
      </c>
      <c r="AY351" s="45">
        <f t="shared" si="147"/>
        <v>24665643.18</v>
      </c>
      <c r="AZ351" s="72">
        <v>20874422.879506484</v>
      </c>
      <c r="BA351" s="72">
        <v>16545070.471263923</v>
      </c>
      <c r="BB351" s="72">
        <f t="shared" si="148"/>
        <v>17429196.663862012</v>
      </c>
      <c r="BC351" s="72">
        <f t="shared" si="148"/>
        <v>7728060.6106727887</v>
      </c>
      <c r="BD351" s="72">
        <f t="shared" si="149"/>
        <v>25157257.274534799</v>
      </c>
      <c r="BE351" s="94">
        <f t="shared" si="150"/>
        <v>8968294.029506484</v>
      </c>
      <c r="BF351" s="94">
        <f t="shared" si="150"/>
        <v>3785556.1412639227</v>
      </c>
      <c r="BG351" s="73">
        <f>IFERROR(INDEX('2023 IP UPL Data'!K:K,MATCH(A351,'2023 IP UPL Data'!B:B,0)),0)</f>
        <v>0</v>
      </c>
    </row>
    <row r="352" spans="1:59">
      <c r="A352" s="124" t="s">
        <v>1573</v>
      </c>
      <c r="B352" s="149" t="s">
        <v>3153</v>
      </c>
      <c r="C352" s="31" t="s">
        <v>1720</v>
      </c>
      <c r="D352" s="181" t="s">
        <v>1720</v>
      </c>
      <c r="E352" s="144" t="s">
        <v>3577</v>
      </c>
      <c r="F352" s="120" t="s">
        <v>2718</v>
      </c>
      <c r="G352" s="120" t="s">
        <v>310</v>
      </c>
      <c r="H352" s="43" t="str">
        <f t="shared" si="130"/>
        <v>Urban MRSA Northeast</v>
      </c>
      <c r="I352" s="45">
        <f>INDEX(FeeCalc!M:M,MATCH(C:C,FeeCalc!F:F,0))</f>
        <v>1346224.6545344926</v>
      </c>
      <c r="J352" s="45">
        <f>INDEX(FeeCalc!L:L,MATCH(C:C,FeeCalc!F:F,0))</f>
        <v>592659.9198371009</v>
      </c>
      <c r="K352" s="45">
        <f t="shared" si="131"/>
        <v>1938884.5743715935</v>
      </c>
      <c r="L352" s="45">
        <f>IFERROR(IFERROR(INDEX('2023 IP UPL Data'!N:N,MATCH(A:A,'2023 IP UPL Data'!B:B,0)),INDEX('2023 IMD UPL Data'!M:M,MATCH(A:A,'2023 IMD UPL Data'!B:B,0))),0)</f>
        <v>1159785.0371739126</v>
      </c>
      <c r="M352" s="45">
        <f>IFERROR((IF(F352="IMD",0,INDEX('2023 OP UPL Data'!M:M,MATCH(A:A,'2023 OP UPL Data'!B:B,0)))),0)</f>
        <v>1271693.388478261</v>
      </c>
      <c r="N352" s="45">
        <f t="shared" si="132"/>
        <v>2431478.4256521733</v>
      </c>
      <c r="O352" s="45">
        <v>2708123.0957235573</v>
      </c>
      <c r="P352" s="45">
        <v>1064534.8229394192</v>
      </c>
      <c r="Q352" s="45">
        <f t="shared" si="133"/>
        <v>3772657.9186629765</v>
      </c>
      <c r="R352" s="45" t="str">
        <f t="shared" si="134"/>
        <v>Yes</v>
      </c>
      <c r="S352" s="46" t="str">
        <f t="shared" si="134"/>
        <v>Yes</v>
      </c>
      <c r="T352" s="47">
        <f>ROUND(INDEX(Summary!H:H,MATCH(H:H,Summary!A:A,0)),2)</f>
        <v>0.79</v>
      </c>
      <c r="U352" s="47">
        <f>ROUND(INDEX(Summary!I:I,MATCH(H:H,Summary!A:A,0)),2)</f>
        <v>1.2</v>
      </c>
      <c r="V352" s="85">
        <f t="shared" si="135"/>
        <v>1063517.4770822492</v>
      </c>
      <c r="W352" s="85">
        <f t="shared" si="135"/>
        <v>711191.90380452108</v>
      </c>
      <c r="X352" s="45">
        <f t="shared" si="136"/>
        <v>1774709.3808867703</v>
      </c>
      <c r="Y352" s="45" t="s">
        <v>3223</v>
      </c>
      <c r="Z352" s="45" t="str">
        <f t="shared" si="137"/>
        <v>Yes</v>
      </c>
      <c r="AA352" s="45" t="str">
        <f t="shared" si="137"/>
        <v>Yes</v>
      </c>
      <c r="AB352" s="45" t="str">
        <f t="shared" si="138"/>
        <v>Yes</v>
      </c>
      <c r="AC352" s="86">
        <f t="shared" si="151"/>
        <v>0.85</v>
      </c>
      <c r="AD352" s="86">
        <f t="shared" si="152"/>
        <v>0.42</v>
      </c>
      <c r="AE352" s="45">
        <f t="shared" si="153"/>
        <v>1144290.9563543187</v>
      </c>
      <c r="AF352" s="45">
        <f t="shared" si="153"/>
        <v>248917.16633158235</v>
      </c>
      <c r="AG352" s="45">
        <f t="shared" si="139"/>
        <v>1393208.1226859009</v>
      </c>
      <c r="AH352" s="47">
        <f>IF(Y352="No",0,IFERROR(ROUNDDOWN(INDEX('90% of ACR'!K:K,MATCH(H:H,'90% of ACR'!A:A,0))*IF(I352&gt;0,IF(O352&gt;0,$R$4*MAX(O352-V352,0),0),0)/I352,2),0))</f>
        <v>0.85</v>
      </c>
      <c r="AI352" s="86">
        <f>IF(Y352="No",0,IFERROR(ROUNDDOWN(INDEX('90% of ACR'!R:R,MATCH(H:H,'90% of ACR'!A:A,0))*IF(J352&gt;0,IF(P352&gt;0,$R$4*MAX(P352-W352,0),0),0)/J352,2),0))</f>
        <v>0.41</v>
      </c>
      <c r="AJ352" s="45">
        <f t="shared" si="140"/>
        <v>1144290.9563543187</v>
      </c>
      <c r="AK352" s="45">
        <f t="shared" si="140"/>
        <v>242990.56713321136</v>
      </c>
      <c r="AL352" s="47">
        <f t="shared" si="141"/>
        <v>1.6400000000000001</v>
      </c>
      <c r="AM352" s="47">
        <f t="shared" si="141"/>
        <v>1.6099999999999999</v>
      </c>
      <c r="AN352" s="87">
        <f>IFERROR(INDEX(FeeCalc!P:P,MATCH(C352,FeeCalc!F:F,0)),0)</f>
        <v>3161990.9043743005</v>
      </c>
      <c r="AO352" s="87">
        <f>IFERROR(INDEX(FeeCalc!S:S,MATCH(C352,FeeCalc!F:F,0)),0)</f>
        <v>197501.14883544232</v>
      </c>
      <c r="AP352" s="87">
        <f t="shared" si="142"/>
        <v>3359492.053209743</v>
      </c>
      <c r="AQ352" s="72">
        <f t="shared" si="143"/>
        <v>1425539.9819225969</v>
      </c>
      <c r="AR352" s="72">
        <f t="shared" si="144"/>
        <v>712769.99096129846</v>
      </c>
      <c r="AS352" s="72">
        <f t="shared" si="145"/>
        <v>712769.99096129846</v>
      </c>
      <c r="AT352" s="72">
        <f>IFERROR(IFERROR(INDEX('2023 IP UPL Data'!L:L,MATCH(A:A,'2023 IP UPL Data'!B:B,0)),INDEX('2023 IMD UPL Data'!I:I,MATCH(A:A,'2023 IMD UPL Data'!B:B,0))),0)</f>
        <v>1366688.2228260871</v>
      </c>
      <c r="AU352" s="72">
        <f>IFERROR(IF(F350="IMD",0,INDEX('2023 OP UPL Data'!J:J,MATCH(A:A,'2023 OP UPL Data'!B:B,0))),0)</f>
        <v>302604.83152173914</v>
      </c>
      <c r="AV352" s="45">
        <f t="shared" si="146"/>
        <v>1669293.0543478262</v>
      </c>
      <c r="AW352" s="72">
        <f>IFERROR(IFERROR(INDEX('2023 IP UPL Data'!M:M,MATCH(A:A,'2023 IP UPL Data'!B:B,0)),INDEX('2023 IMD UPL Data'!K:K,MATCH(A:A,'2023 IMD UPL Data'!B:B,0))),0)</f>
        <v>2526473.2599999998</v>
      </c>
      <c r="AX352" s="72">
        <f>IFERROR(IF(F350="IMD",0,INDEX('2023 OP UPL Data'!L:L,MATCH(A:A,'2023 OP UPL Data'!B:B,0))),0)</f>
        <v>1574298.22</v>
      </c>
      <c r="AY352" s="45">
        <f t="shared" si="147"/>
        <v>4100771.4799999995</v>
      </c>
      <c r="AZ352" s="72">
        <v>4074811.3185496447</v>
      </c>
      <c r="BA352" s="72">
        <v>1367139.6544611584</v>
      </c>
      <c r="BB352" s="72">
        <f t="shared" si="148"/>
        <v>3011293.8414673954</v>
      </c>
      <c r="BC352" s="72">
        <f t="shared" si="148"/>
        <v>655947.75065663736</v>
      </c>
      <c r="BD352" s="72">
        <f t="shared" si="149"/>
        <v>3667241.5921240323</v>
      </c>
      <c r="BE352" s="94">
        <f t="shared" si="150"/>
        <v>1548338.0585496449</v>
      </c>
      <c r="BF352" s="94">
        <f t="shared" si="150"/>
        <v>0</v>
      </c>
      <c r="BG352" s="73">
        <f>IFERROR(INDEX('2023 IP UPL Data'!K:K,MATCH(A352,'2023 IP UPL Data'!B:B,0)),0)</f>
        <v>0</v>
      </c>
    </row>
    <row r="353" spans="1:59">
      <c r="A353" s="124" t="s">
        <v>989</v>
      </c>
      <c r="B353" s="149" t="s">
        <v>989</v>
      </c>
      <c r="C353" s="31" t="s">
        <v>990</v>
      </c>
      <c r="D353" s="181" t="s">
        <v>990</v>
      </c>
      <c r="E353" s="144" t="s">
        <v>3578</v>
      </c>
      <c r="F353" s="120" t="s">
        <v>2768</v>
      </c>
      <c r="G353" s="120" t="s">
        <v>1553</v>
      </c>
      <c r="H353" s="43" t="str">
        <f t="shared" si="130"/>
        <v>Rural Nueces</v>
      </c>
      <c r="I353" s="45">
        <f>INDEX(FeeCalc!M:M,MATCH(C:C,FeeCalc!F:F,0))</f>
        <v>46021.431665353099</v>
      </c>
      <c r="J353" s="45">
        <f>INDEX(FeeCalc!L:L,MATCH(C:C,FeeCalc!F:F,0))</f>
        <v>831315.4818352341</v>
      </c>
      <c r="K353" s="45">
        <f t="shared" si="131"/>
        <v>877336.91350058722</v>
      </c>
      <c r="L353" s="45">
        <f>IFERROR(IFERROR(INDEX('2023 IP UPL Data'!N:N,MATCH(A:A,'2023 IP UPL Data'!B:B,0)),INDEX('2023 IMD UPL Data'!M:M,MATCH(A:A,'2023 IMD UPL Data'!B:B,0))),0)</f>
        <v>17976.073266726271</v>
      </c>
      <c r="M353" s="45">
        <f>IFERROR((IF(F353="IMD",0,INDEX('2023 OP UPL Data'!M:M,MATCH(A:A,'2023 OP UPL Data'!B:B,0)))),0)</f>
        <v>-169562.08246913576</v>
      </c>
      <c r="N353" s="45">
        <f t="shared" si="132"/>
        <v>-151586.00920240948</v>
      </c>
      <c r="O353" s="45">
        <v>51834.998966121821</v>
      </c>
      <c r="P353" s="45">
        <v>121254.44150060561</v>
      </c>
      <c r="Q353" s="45">
        <f t="shared" si="133"/>
        <v>173089.44046672742</v>
      </c>
      <c r="R353" s="45" t="str">
        <f t="shared" si="134"/>
        <v>Yes</v>
      </c>
      <c r="S353" s="46" t="str">
        <f t="shared" si="134"/>
        <v>Yes</v>
      </c>
      <c r="T353" s="47">
        <f>ROUND(INDEX(Summary!H:H,MATCH(H:H,Summary!A:A,0)),2)</f>
        <v>0.12</v>
      </c>
      <c r="U353" s="47">
        <f>ROUND(INDEX(Summary!I:I,MATCH(H:H,Summary!A:A,0)),2)</f>
        <v>0.17</v>
      </c>
      <c r="V353" s="85">
        <f t="shared" si="135"/>
        <v>5522.5717998423715</v>
      </c>
      <c r="W353" s="85">
        <f t="shared" si="135"/>
        <v>141323.6319119898</v>
      </c>
      <c r="X353" s="45">
        <f t="shared" si="136"/>
        <v>146846.20371183218</v>
      </c>
      <c r="Y353" s="45" t="s">
        <v>3223</v>
      </c>
      <c r="Z353" s="45" t="str">
        <f t="shared" si="137"/>
        <v>Yes</v>
      </c>
      <c r="AA353" s="45" t="str">
        <f t="shared" si="137"/>
        <v>No</v>
      </c>
      <c r="AB353" s="45" t="str">
        <f t="shared" si="138"/>
        <v>Yes</v>
      </c>
      <c r="AC353" s="86">
        <f t="shared" si="151"/>
        <v>0.7</v>
      </c>
      <c r="AD353" s="86">
        <f t="shared" si="152"/>
        <v>0</v>
      </c>
      <c r="AE353" s="45">
        <f t="shared" si="153"/>
        <v>32215.002165747166</v>
      </c>
      <c r="AF353" s="45">
        <f t="shared" si="153"/>
        <v>0</v>
      </c>
      <c r="AG353" s="45">
        <f t="shared" si="139"/>
        <v>32215.002165747166</v>
      </c>
      <c r="AH353" s="47">
        <f>IF(Y353="No",0,IFERROR(ROUNDDOWN(INDEX('90% of ACR'!K:K,MATCH(H:H,'90% of ACR'!A:A,0))*IF(I353&gt;0,IF(O353&gt;0,$R$4*MAX(O353-V353,0),0),0)/I353,2),0))</f>
        <v>0.41</v>
      </c>
      <c r="AI353" s="86">
        <f>IF(Y353="No",0,IFERROR(ROUNDDOWN(INDEX('90% of ACR'!R:R,MATCH(H:H,'90% of ACR'!A:A,0))*IF(J353&gt;0,IF(P353&gt;0,$R$4*MAX(P353-W353,0),0),0)/J353,2),0))</f>
        <v>0</v>
      </c>
      <c r="AJ353" s="45">
        <f t="shared" si="140"/>
        <v>18868.786982794769</v>
      </c>
      <c r="AK353" s="45">
        <f t="shared" si="140"/>
        <v>0</v>
      </c>
      <c r="AL353" s="47">
        <f t="shared" si="141"/>
        <v>0.53</v>
      </c>
      <c r="AM353" s="47">
        <f t="shared" si="141"/>
        <v>0.17</v>
      </c>
      <c r="AN353" s="87">
        <f>IFERROR(INDEX(FeeCalc!P:P,MATCH(C353,FeeCalc!F:F,0)),0)</f>
        <v>165714.99069462693</v>
      </c>
      <c r="AO353" s="87">
        <f>IFERROR(INDEX(FeeCalc!S:S,MATCH(C353,FeeCalc!F:F,0)),0)</f>
        <v>10305.631741275029</v>
      </c>
      <c r="AP353" s="87">
        <f t="shared" si="142"/>
        <v>176020.62243590195</v>
      </c>
      <c r="AQ353" s="72">
        <f t="shared" si="143"/>
        <v>74691.18275947115</v>
      </c>
      <c r="AR353" s="72">
        <f t="shared" si="144"/>
        <v>37345.591379735575</v>
      </c>
      <c r="AS353" s="72">
        <f t="shared" si="145"/>
        <v>37345.591379735575</v>
      </c>
      <c r="AT353" s="72">
        <f>IFERROR(IFERROR(INDEX('2023 IP UPL Data'!L:L,MATCH(A:A,'2023 IP UPL Data'!B:B,0)),INDEX('2023 IMD UPL Data'!I:I,MATCH(A:A,'2023 IMD UPL Data'!B:B,0))),0)</f>
        <v>58293.64673327373</v>
      </c>
      <c r="AU353" s="72">
        <f>IFERROR(IF(F351="IMD",0,INDEX('2023 OP UPL Data'!J:J,MATCH(A:A,'2023 OP UPL Data'!B:B,0))),0)</f>
        <v>379501.96246913576</v>
      </c>
      <c r="AV353" s="45">
        <f t="shared" si="146"/>
        <v>437795.60920240951</v>
      </c>
      <c r="AW353" s="72">
        <f>IFERROR(IFERROR(INDEX('2023 IP UPL Data'!M:M,MATCH(A:A,'2023 IP UPL Data'!B:B,0)),INDEX('2023 IMD UPL Data'!K:K,MATCH(A:A,'2023 IMD UPL Data'!B:B,0))),0)</f>
        <v>76269.72</v>
      </c>
      <c r="AX353" s="72">
        <f>IFERROR(IF(F351="IMD",0,INDEX('2023 OP UPL Data'!L:L,MATCH(A:A,'2023 OP UPL Data'!B:B,0))),0)</f>
        <v>209939.88</v>
      </c>
      <c r="AY353" s="45">
        <f t="shared" si="147"/>
        <v>286209.59999999998</v>
      </c>
      <c r="AZ353" s="72">
        <v>110128.64569939555</v>
      </c>
      <c r="BA353" s="72">
        <v>500756.40396974137</v>
      </c>
      <c r="BB353" s="72">
        <f t="shared" si="148"/>
        <v>104606.07389955319</v>
      </c>
      <c r="BC353" s="72">
        <f t="shared" si="148"/>
        <v>359432.77205775154</v>
      </c>
      <c r="BD353" s="72">
        <f t="shared" si="149"/>
        <v>464038.8459573047</v>
      </c>
      <c r="BE353" s="94">
        <f t="shared" si="150"/>
        <v>33858.92569939555</v>
      </c>
      <c r="BF353" s="94">
        <f t="shared" si="150"/>
        <v>290816.52396974136</v>
      </c>
      <c r="BG353" s="73">
        <f>IFERROR(INDEX('2023 IP UPL Data'!K:K,MATCH(A353,'2023 IP UPL Data'!B:B,0)),0)</f>
        <v>0</v>
      </c>
    </row>
    <row r="354" spans="1:59">
      <c r="A354" s="124" t="s">
        <v>1563</v>
      </c>
      <c r="B354" s="149" t="s">
        <v>1563</v>
      </c>
      <c r="C354" s="31" t="s">
        <v>1794</v>
      </c>
      <c r="D354" s="181" t="s">
        <v>1794</v>
      </c>
      <c r="E354" s="144" t="s">
        <v>3100</v>
      </c>
      <c r="F354" s="120" t="s">
        <v>2718</v>
      </c>
      <c r="G354" s="120" t="s">
        <v>223</v>
      </c>
      <c r="H354" s="43" t="str">
        <f t="shared" si="130"/>
        <v>Urban Dallas</v>
      </c>
      <c r="I354" s="45">
        <f>INDEX(FeeCalc!M:M,MATCH(C:C,FeeCalc!F:F,0))</f>
        <v>47163420.411764875</v>
      </c>
      <c r="J354" s="45">
        <f>INDEX(FeeCalc!L:L,MATCH(C:C,FeeCalc!F:F,0))</f>
        <v>48596779.346983567</v>
      </c>
      <c r="K354" s="45">
        <f t="shared" si="131"/>
        <v>95760199.758748442</v>
      </c>
      <c r="L354" s="45">
        <f>IFERROR(IFERROR(INDEX('2023 IP UPL Data'!N:N,MATCH(A:A,'2023 IP UPL Data'!B:B,0)),INDEX('2023 IMD UPL Data'!M:M,MATCH(A:A,'2023 IMD UPL Data'!B:B,0))),0)</f>
        <v>128291339.00447851</v>
      </c>
      <c r="M354" s="45">
        <f>IFERROR((IF(F354="IMD",0,INDEX('2023 OP UPL Data'!M:M,MATCH(A:A,'2023 OP UPL Data'!B:B,0)))),0)</f>
        <v>30877143.729999997</v>
      </c>
      <c r="N354" s="45">
        <f t="shared" si="132"/>
        <v>159168482.7344785</v>
      </c>
      <c r="O354" s="45">
        <v>78174786.047037184</v>
      </c>
      <c r="P354" s="45">
        <v>130939883.44534233</v>
      </c>
      <c r="Q354" s="45">
        <f t="shared" si="133"/>
        <v>209114669.49237952</v>
      </c>
      <c r="R354" s="45" t="str">
        <f t="shared" si="134"/>
        <v>Yes</v>
      </c>
      <c r="S354" s="46" t="str">
        <f t="shared" si="134"/>
        <v>Yes</v>
      </c>
      <c r="T354" s="47">
        <f>ROUND(INDEX(Summary!H:H,MATCH(H:H,Summary!A:A,0)),2)</f>
        <v>1.2</v>
      </c>
      <c r="U354" s="47">
        <f>ROUND(INDEX(Summary!I:I,MATCH(H:H,Summary!A:A,0)),2)</f>
        <v>1.08</v>
      </c>
      <c r="V354" s="85">
        <f t="shared" si="135"/>
        <v>56596104.494117849</v>
      </c>
      <c r="W354" s="85">
        <f t="shared" si="135"/>
        <v>52484521.694742255</v>
      </c>
      <c r="X354" s="45">
        <f t="shared" si="136"/>
        <v>109080626.1888601</v>
      </c>
      <c r="Y354" s="45" t="s">
        <v>3223</v>
      </c>
      <c r="Z354" s="45" t="str">
        <f t="shared" si="137"/>
        <v>Yes</v>
      </c>
      <c r="AA354" s="45" t="str">
        <f t="shared" si="137"/>
        <v>Yes</v>
      </c>
      <c r="AB354" s="45" t="str">
        <f t="shared" si="138"/>
        <v>Yes</v>
      </c>
      <c r="AC354" s="86">
        <f t="shared" si="151"/>
        <v>0.32</v>
      </c>
      <c r="AD354" s="86">
        <f t="shared" si="152"/>
        <v>1.1200000000000001</v>
      </c>
      <c r="AE354" s="45">
        <f t="shared" si="153"/>
        <v>15092294.531764761</v>
      </c>
      <c r="AF354" s="45">
        <f t="shared" si="153"/>
        <v>54428392.868621603</v>
      </c>
      <c r="AG354" s="45">
        <f t="shared" si="139"/>
        <v>69520687.400386363</v>
      </c>
      <c r="AH354" s="47">
        <f>IF(Y354="No",0,IFERROR(ROUNDDOWN(INDEX('90% of ACR'!K:K,MATCH(H:H,'90% of ACR'!A:A,0))*IF(I354&gt;0,IF(O354&gt;0,$R$4*MAX(O354-V354,0),0),0)/I354,2),0))</f>
        <v>0.3</v>
      </c>
      <c r="AI354" s="86">
        <f>IF(Y354="No",0,IFERROR(ROUNDDOWN(INDEX('90% of ACR'!R:R,MATCH(H:H,'90% of ACR'!A:A,0))*IF(J354&gt;0,IF(P354&gt;0,$R$4*MAX(P354-W354,0),0),0)/J354,2),0))</f>
        <v>1.1200000000000001</v>
      </c>
      <c r="AJ354" s="45">
        <f t="shared" si="140"/>
        <v>14149026.123529462</v>
      </c>
      <c r="AK354" s="45">
        <f t="shared" si="140"/>
        <v>54428392.868621603</v>
      </c>
      <c r="AL354" s="47">
        <f t="shared" si="141"/>
        <v>1.5</v>
      </c>
      <c r="AM354" s="47">
        <f t="shared" si="141"/>
        <v>2.2000000000000002</v>
      </c>
      <c r="AN354" s="87">
        <f>IFERROR(INDEX(FeeCalc!P:P,MATCH(C354,FeeCalc!F:F,0)),0)</f>
        <v>177658045.18101117</v>
      </c>
      <c r="AO354" s="87">
        <f>IFERROR(INDEX(FeeCalc!S:S,MATCH(C354,FeeCalc!F:F,0)),0)</f>
        <v>11102638.807601707</v>
      </c>
      <c r="AP354" s="87">
        <f t="shared" si="142"/>
        <v>188760683.98861289</v>
      </c>
      <c r="AQ354" s="72">
        <f t="shared" si="143"/>
        <v>80097198.558256105</v>
      </c>
      <c r="AR354" s="72">
        <f t="shared" si="144"/>
        <v>40048599.279128052</v>
      </c>
      <c r="AS354" s="72">
        <f t="shared" si="145"/>
        <v>40048599.279128052</v>
      </c>
      <c r="AT354" s="72">
        <f>IFERROR(IFERROR(INDEX('2023 IP UPL Data'!L:L,MATCH(A:A,'2023 IP UPL Data'!B:B,0)),INDEX('2023 IMD UPL Data'!I:I,MATCH(A:A,'2023 IMD UPL Data'!B:B,0))),0)</f>
        <v>109364676.72552148</v>
      </c>
      <c r="AU354" s="72">
        <f>IFERROR(IF(F352="IMD",0,INDEX('2023 OP UPL Data'!J:J,MATCH(A:A,'2023 OP UPL Data'!B:B,0))),0)</f>
        <v>33547650</v>
      </c>
      <c r="AV354" s="45">
        <f t="shared" si="146"/>
        <v>142912326.72552148</v>
      </c>
      <c r="AW354" s="72">
        <f>IFERROR(IFERROR(INDEX('2023 IP UPL Data'!M:M,MATCH(A:A,'2023 IP UPL Data'!B:B,0)),INDEX('2023 IMD UPL Data'!K:K,MATCH(A:A,'2023 IMD UPL Data'!B:B,0))),0)</f>
        <v>237656015.72999999</v>
      </c>
      <c r="AX354" s="72">
        <f>IFERROR(IF(F352="IMD",0,INDEX('2023 OP UPL Data'!L:L,MATCH(A:A,'2023 OP UPL Data'!B:B,0))),0)</f>
        <v>64424793.729999997</v>
      </c>
      <c r="AY354" s="45">
        <f t="shared" si="147"/>
        <v>302080809.45999998</v>
      </c>
      <c r="AZ354" s="72">
        <v>187539462.77255866</v>
      </c>
      <c r="BA354" s="72">
        <v>164487533.44534233</v>
      </c>
      <c r="BB354" s="72">
        <f t="shared" si="148"/>
        <v>130943358.2784408</v>
      </c>
      <c r="BC354" s="72">
        <f t="shared" si="148"/>
        <v>112003011.75060007</v>
      </c>
      <c r="BD354" s="72">
        <f t="shared" si="149"/>
        <v>242946370.02904087</v>
      </c>
      <c r="BE354" s="94">
        <f t="shared" si="150"/>
        <v>0</v>
      </c>
      <c r="BF354" s="94">
        <f t="shared" si="150"/>
        <v>100062739.71534234</v>
      </c>
      <c r="BG354" s="73">
        <f>IFERROR(INDEX('2023 IP UPL Data'!K:K,MATCH(A354,'2023 IP UPL Data'!B:B,0)),0)</f>
        <v>62213939.020000003</v>
      </c>
    </row>
    <row r="355" spans="1:59">
      <c r="A355" s="124" t="s">
        <v>471</v>
      </c>
      <c r="B355" s="149" t="s">
        <v>471</v>
      </c>
      <c r="C355" s="31" t="s">
        <v>472</v>
      </c>
      <c r="D355" s="181" t="s">
        <v>472</v>
      </c>
      <c r="E355" s="144" t="s">
        <v>3105</v>
      </c>
      <c r="F355" s="120" t="s">
        <v>2768</v>
      </c>
      <c r="G355" s="120" t="s">
        <v>227</v>
      </c>
      <c r="H355" s="43" t="str">
        <f t="shared" si="130"/>
        <v>Rural MRSA West</v>
      </c>
      <c r="I355" s="45">
        <f>INDEX(FeeCalc!M:M,MATCH(C:C,FeeCalc!F:F,0))</f>
        <v>15476781.024278406</v>
      </c>
      <c r="J355" s="45">
        <f>INDEX(FeeCalc!L:L,MATCH(C:C,FeeCalc!F:F,0))</f>
        <v>22590.73256301575</v>
      </c>
      <c r="K355" s="45">
        <f t="shared" si="131"/>
        <v>15499371.756841421</v>
      </c>
      <c r="L355" s="45">
        <f>IFERROR(IFERROR(INDEX('2023 IP UPL Data'!N:N,MATCH(A:A,'2023 IP UPL Data'!B:B,0)),INDEX('2023 IMD UPL Data'!M:M,MATCH(A:A,'2023 IMD UPL Data'!B:B,0))),0)</f>
        <v>-340772.48533031531</v>
      </c>
      <c r="M355" s="45">
        <f>IFERROR((IF(F355="IMD",0,INDEX('2023 OP UPL Data'!M:M,MATCH(A:A,'2023 OP UPL Data'!B:B,0)))),0)</f>
        <v>-1142122.6192499995</v>
      </c>
      <c r="N355" s="45">
        <f t="shared" si="132"/>
        <v>-1482895.1045803148</v>
      </c>
      <c r="O355" s="45">
        <v>2342500.4926910046</v>
      </c>
      <c r="P355" s="45">
        <v>6880430.0172313042</v>
      </c>
      <c r="Q355" s="45">
        <f t="shared" si="133"/>
        <v>9222930.5099223088</v>
      </c>
      <c r="R355" s="45" t="str">
        <f t="shared" si="134"/>
        <v>Yes</v>
      </c>
      <c r="S355" s="46" t="str">
        <f t="shared" si="134"/>
        <v>Yes</v>
      </c>
      <c r="T355" s="47">
        <f>ROUND(INDEX(Summary!H:H,MATCH(H:H,Summary!A:A,0)),2)</f>
        <v>0</v>
      </c>
      <c r="U355" s="47">
        <f>ROUND(INDEX(Summary!I:I,MATCH(H:H,Summary!A:A,0)),2)</f>
        <v>0.28999999999999998</v>
      </c>
      <c r="V355" s="85">
        <f t="shared" si="135"/>
        <v>0</v>
      </c>
      <c r="W355" s="85">
        <f t="shared" si="135"/>
        <v>6551.3124432745672</v>
      </c>
      <c r="X355" s="45">
        <f t="shared" si="136"/>
        <v>6551.3124432745672</v>
      </c>
      <c r="Y355" s="45" t="s">
        <v>3223</v>
      </c>
      <c r="Z355" s="45" t="str">
        <f t="shared" si="137"/>
        <v>No</v>
      </c>
      <c r="AA355" s="45" t="str">
        <f t="shared" si="137"/>
        <v>Yes</v>
      </c>
      <c r="AB355" s="45" t="str">
        <f t="shared" si="138"/>
        <v>Yes</v>
      </c>
      <c r="AC355" s="86">
        <f t="shared" si="151"/>
        <v>0.11</v>
      </c>
      <c r="AD355" s="86">
        <f t="shared" si="152"/>
        <v>211.97</v>
      </c>
      <c r="AE355" s="45">
        <f t="shared" si="153"/>
        <v>1702445.9126706247</v>
      </c>
      <c r="AF355" s="45">
        <f t="shared" si="153"/>
        <v>4788557.5813824488</v>
      </c>
      <c r="AG355" s="45">
        <f t="shared" si="139"/>
        <v>6491003.4940530732</v>
      </c>
      <c r="AH355" s="47">
        <f>IF(Y355="No",0,IFERROR(ROUNDDOWN(INDEX('90% of ACR'!K:K,MATCH(H:H,'90% of ACR'!A:A,0))*IF(I355&gt;0,IF(O355&gt;0,$R$4*MAX(O355-V355,0),0),0)/I355,2),0))</f>
        <v>0</v>
      </c>
      <c r="AI355" s="86">
        <f>IF(Y355="No",0,IFERROR(ROUNDDOWN(INDEX('90% of ACR'!R:R,MATCH(H:H,'90% of ACR'!A:A,0))*IF(J355&gt;0,IF(P355&gt;0,$R$4*MAX(P355-W355,0),0),0)/J355,2),0))</f>
        <v>210</v>
      </c>
      <c r="AJ355" s="45">
        <f t="shared" si="140"/>
        <v>0</v>
      </c>
      <c r="AK355" s="45">
        <f t="shared" si="140"/>
        <v>4744053.8382333079</v>
      </c>
      <c r="AL355" s="47">
        <f t="shared" si="141"/>
        <v>0</v>
      </c>
      <c r="AM355" s="47">
        <f t="shared" si="141"/>
        <v>210.29</v>
      </c>
      <c r="AN355" s="87">
        <f>IFERROR(INDEX(FeeCalc!P:P,MATCH(C355,FeeCalc!F:F,0)),0)</f>
        <v>4750605.150676582</v>
      </c>
      <c r="AO355" s="87">
        <f>IFERROR(INDEX(FeeCalc!S:S,MATCH(C355,FeeCalc!F:F,0)),0)</f>
        <v>295575.3399608871</v>
      </c>
      <c r="AP355" s="87">
        <f t="shared" si="142"/>
        <v>5046180.4906374691</v>
      </c>
      <c r="AQ355" s="72">
        <f t="shared" si="143"/>
        <v>2141255.859953179</v>
      </c>
      <c r="AR355" s="72">
        <f t="shared" si="144"/>
        <v>1070627.9299765895</v>
      </c>
      <c r="AS355" s="72">
        <f t="shared" si="145"/>
        <v>1070627.9299765895</v>
      </c>
      <c r="AT355" s="72">
        <f>IFERROR(IFERROR(INDEX('2023 IP UPL Data'!L:L,MATCH(A:A,'2023 IP UPL Data'!B:B,0)),INDEX('2023 IMD UPL Data'!I:I,MATCH(A:A,'2023 IMD UPL Data'!B:B,0))),0)</f>
        <v>4438081.9053303152</v>
      </c>
      <c r="AU355" s="72">
        <f>IFERROR(IF(F353="IMD",0,INDEX('2023 OP UPL Data'!J:J,MATCH(A:A,'2023 OP UPL Data'!B:B,0))),0)</f>
        <v>2384484.0592499995</v>
      </c>
      <c r="AV355" s="45">
        <f t="shared" si="146"/>
        <v>6822565.9645803142</v>
      </c>
      <c r="AW355" s="72">
        <f>IFERROR(IFERROR(INDEX('2023 IP UPL Data'!M:M,MATCH(A:A,'2023 IP UPL Data'!B:B,0)),INDEX('2023 IMD UPL Data'!K:K,MATCH(A:A,'2023 IMD UPL Data'!B:B,0))),0)</f>
        <v>4097309.42</v>
      </c>
      <c r="AX355" s="72">
        <f>IFERROR(IF(F353="IMD",0,INDEX('2023 OP UPL Data'!L:L,MATCH(A:A,'2023 OP UPL Data'!B:B,0))),0)</f>
        <v>1242361.44</v>
      </c>
      <c r="AY355" s="45">
        <f t="shared" si="147"/>
        <v>5339670.8599999994</v>
      </c>
      <c r="AZ355" s="72">
        <v>6780582.3980213199</v>
      </c>
      <c r="BA355" s="72">
        <v>9264914.0764813032</v>
      </c>
      <c r="BB355" s="72">
        <f t="shared" si="148"/>
        <v>6780582.3980213199</v>
      </c>
      <c r="BC355" s="72">
        <f t="shared" si="148"/>
        <v>9258362.7640380282</v>
      </c>
      <c r="BD355" s="72">
        <f t="shared" si="149"/>
        <v>16038945.162059348</v>
      </c>
      <c r="BE355" s="94">
        <f t="shared" si="150"/>
        <v>2683272.97802132</v>
      </c>
      <c r="BF355" s="94">
        <f t="shared" si="150"/>
        <v>8022552.6364813037</v>
      </c>
      <c r="BG355" s="73">
        <f>IFERROR(INDEX('2023 IP UPL Data'!K:K,MATCH(A355,'2023 IP UPL Data'!B:B,0)),0)</f>
        <v>0</v>
      </c>
    </row>
    <row r="356" spans="1:59">
      <c r="A356" s="124" t="s">
        <v>1280</v>
      </c>
      <c r="B356" s="149" t="s">
        <v>1280</v>
      </c>
      <c r="C356" s="31" t="s">
        <v>1281</v>
      </c>
      <c r="D356" s="181" t="s">
        <v>1281</v>
      </c>
      <c r="E356" s="144" t="s">
        <v>3331</v>
      </c>
      <c r="F356" s="120" t="s">
        <v>2718</v>
      </c>
      <c r="G356" s="120" t="s">
        <v>487</v>
      </c>
      <c r="H356" s="43" t="str">
        <f t="shared" si="130"/>
        <v>Urban Bexar</v>
      </c>
      <c r="I356" s="45">
        <f>INDEX(FeeCalc!M:M,MATCH(C:C,FeeCalc!F:F,0))</f>
        <v>1951136.1651975051</v>
      </c>
      <c r="J356" s="45">
        <f>INDEX(FeeCalc!L:L,MATCH(C:C,FeeCalc!F:F,0))</f>
        <v>3956933.9072608389</v>
      </c>
      <c r="K356" s="45">
        <f t="shared" si="131"/>
        <v>5908070.0724583436</v>
      </c>
      <c r="L356" s="45">
        <f>IFERROR(IFERROR(INDEX('2023 IP UPL Data'!N:N,MATCH(A:A,'2023 IP UPL Data'!B:B,0)),INDEX('2023 IMD UPL Data'!M:M,MATCH(A:A,'2023 IMD UPL Data'!B:B,0))),0)</f>
        <v>2505764.8825641023</v>
      </c>
      <c r="M356" s="45">
        <f>IFERROR((IF(F356="IMD",0,INDEX('2023 OP UPL Data'!M:M,MATCH(A:A,'2023 OP UPL Data'!B:B,0)))),0)</f>
        <v>1842349.1328205131</v>
      </c>
      <c r="N356" s="45">
        <f t="shared" si="132"/>
        <v>4348114.0153846154</v>
      </c>
      <c r="O356" s="45">
        <v>2307888.5331037445</v>
      </c>
      <c r="P356" s="45">
        <v>3487827.9222837882</v>
      </c>
      <c r="Q356" s="45">
        <f t="shared" si="133"/>
        <v>5795716.4553875327</v>
      </c>
      <c r="R356" s="45" t="str">
        <f t="shared" si="134"/>
        <v>Yes</v>
      </c>
      <c r="S356" s="46" t="str">
        <f t="shared" si="134"/>
        <v>Yes</v>
      </c>
      <c r="T356" s="47">
        <f>ROUND(INDEX(Summary!H:H,MATCH(H:H,Summary!A:A,0)),2)</f>
        <v>0.71</v>
      </c>
      <c r="U356" s="47">
        <f>ROUND(INDEX(Summary!I:I,MATCH(H:H,Summary!A:A,0)),2)</f>
        <v>0.67</v>
      </c>
      <c r="V356" s="85">
        <f t="shared" si="135"/>
        <v>1385306.6772902287</v>
      </c>
      <c r="W356" s="85">
        <f t="shared" si="135"/>
        <v>2651145.7178647621</v>
      </c>
      <c r="X356" s="45">
        <f t="shared" si="136"/>
        <v>4036452.3951549907</v>
      </c>
      <c r="Y356" s="45" t="s">
        <v>3223</v>
      </c>
      <c r="Z356" s="45" t="str">
        <f t="shared" si="137"/>
        <v>Yes</v>
      </c>
      <c r="AA356" s="45" t="str">
        <f t="shared" si="137"/>
        <v>Yes</v>
      </c>
      <c r="AB356" s="45" t="str">
        <f t="shared" si="138"/>
        <v>Yes</v>
      </c>
      <c r="AC356" s="86">
        <f t="shared" si="151"/>
        <v>0.33</v>
      </c>
      <c r="AD356" s="86">
        <f t="shared" si="152"/>
        <v>0.15</v>
      </c>
      <c r="AE356" s="45">
        <f t="shared" si="153"/>
        <v>643874.93451517669</v>
      </c>
      <c r="AF356" s="45">
        <f t="shared" si="153"/>
        <v>593540.08608912583</v>
      </c>
      <c r="AG356" s="45">
        <f t="shared" si="139"/>
        <v>1237415.0206043026</v>
      </c>
      <c r="AH356" s="47">
        <f>IF(Y356="No",0,IFERROR(ROUNDDOWN(INDEX('90% of ACR'!K:K,MATCH(H:H,'90% of ACR'!A:A,0))*IF(I356&gt;0,IF(O356&gt;0,$R$4*MAX(O356-V356,0),0),0)/I356,2),0))</f>
        <v>0.24</v>
      </c>
      <c r="AI356" s="86">
        <f>IF(Y356="No",0,IFERROR(ROUNDDOWN(INDEX('90% of ACR'!R:R,MATCH(H:H,'90% of ACR'!A:A,0))*IF(J356&gt;0,IF(P356&gt;0,$R$4*MAX(P356-W356,0),0),0)/J356,2),0))</f>
        <v>0.09</v>
      </c>
      <c r="AJ356" s="45">
        <f t="shared" si="140"/>
        <v>468272.67964740121</v>
      </c>
      <c r="AK356" s="45">
        <f t="shared" si="140"/>
        <v>356124.0516534755</v>
      </c>
      <c r="AL356" s="47">
        <f t="shared" si="141"/>
        <v>0.95</v>
      </c>
      <c r="AM356" s="47">
        <f t="shared" si="141"/>
        <v>0.76</v>
      </c>
      <c r="AN356" s="87">
        <f>IFERROR(INDEX(FeeCalc!P:P,MATCH(C356,FeeCalc!F:F,0)),0)</f>
        <v>4860849.1264558677</v>
      </c>
      <c r="AO356" s="87">
        <f>IFERROR(INDEX(FeeCalc!S:S,MATCH(C356,FeeCalc!F:F,0)),0)</f>
        <v>301072.8823811973</v>
      </c>
      <c r="AP356" s="87">
        <f t="shared" si="142"/>
        <v>5161922.0088370647</v>
      </c>
      <c r="AQ356" s="72">
        <f t="shared" si="143"/>
        <v>2190368.6898538498</v>
      </c>
      <c r="AR356" s="72">
        <f t="shared" si="144"/>
        <v>1095184.3449269249</v>
      </c>
      <c r="AS356" s="72">
        <f t="shared" si="145"/>
        <v>1095184.3449269249</v>
      </c>
      <c r="AT356" s="72">
        <f>IFERROR(IFERROR(INDEX('2023 IP UPL Data'!L:L,MATCH(A:A,'2023 IP UPL Data'!B:B,0)),INDEX('2023 IMD UPL Data'!I:I,MATCH(A:A,'2023 IMD UPL Data'!B:B,0))),0)</f>
        <v>1613200.8974358975</v>
      </c>
      <c r="AU356" s="72">
        <f>IFERROR(IF(F354="IMD",0,INDEX('2023 OP UPL Data'!J:J,MATCH(A:A,'2023 OP UPL Data'!B:B,0))),0)</f>
        <v>1785227.237179487</v>
      </c>
      <c r="AV356" s="45">
        <f t="shared" si="146"/>
        <v>3398428.1346153845</v>
      </c>
      <c r="AW356" s="72">
        <f>IFERROR(IFERROR(INDEX('2023 IP UPL Data'!M:M,MATCH(A:A,'2023 IP UPL Data'!B:B,0)),INDEX('2023 IMD UPL Data'!K:K,MATCH(A:A,'2023 IMD UPL Data'!B:B,0))),0)</f>
        <v>4118965.78</v>
      </c>
      <c r="AX356" s="72">
        <f>IFERROR(IF(F354="IMD",0,INDEX('2023 OP UPL Data'!L:L,MATCH(A:A,'2023 OP UPL Data'!B:B,0))),0)</f>
        <v>3627576.37</v>
      </c>
      <c r="AY356" s="45">
        <f t="shared" si="147"/>
        <v>7746542.1500000004</v>
      </c>
      <c r="AZ356" s="72">
        <v>3921089.430539642</v>
      </c>
      <c r="BA356" s="72">
        <v>5273055.1594632752</v>
      </c>
      <c r="BB356" s="72">
        <f t="shared" si="148"/>
        <v>2535782.7532494133</v>
      </c>
      <c r="BC356" s="72">
        <f t="shared" si="148"/>
        <v>2621909.4415985132</v>
      </c>
      <c r="BD356" s="72">
        <f t="shared" si="149"/>
        <v>5157692.1948479265</v>
      </c>
      <c r="BE356" s="94">
        <f t="shared" si="150"/>
        <v>0</v>
      </c>
      <c r="BF356" s="94">
        <f t="shared" si="150"/>
        <v>1645478.7894632751</v>
      </c>
      <c r="BG356" s="73">
        <f>IFERROR(INDEX('2023 IP UPL Data'!K:K,MATCH(A356,'2023 IP UPL Data'!B:B,0)),0)</f>
        <v>0</v>
      </c>
    </row>
    <row r="357" spans="1:59">
      <c r="A357" s="124" t="s">
        <v>780</v>
      </c>
      <c r="B357" s="149" t="s">
        <v>780</v>
      </c>
      <c r="C357" s="31" t="s">
        <v>781</v>
      </c>
      <c r="D357" s="181" t="s">
        <v>781</v>
      </c>
      <c r="E357" s="144" t="s">
        <v>2976</v>
      </c>
      <c r="F357" s="120" t="s">
        <v>2768</v>
      </c>
      <c r="G357" s="120" t="s">
        <v>1366</v>
      </c>
      <c r="H357" s="43" t="str">
        <f t="shared" si="130"/>
        <v>Rural Tarrant</v>
      </c>
      <c r="I357" s="45">
        <f>INDEX(FeeCalc!M:M,MATCH(C:C,FeeCalc!F:F,0))</f>
        <v>3924657.9684309098</v>
      </c>
      <c r="J357" s="45">
        <f>INDEX(FeeCalc!L:L,MATCH(C:C,FeeCalc!F:F,0))</f>
        <v>1732260.8098430147</v>
      </c>
      <c r="K357" s="45">
        <f t="shared" si="131"/>
        <v>5656918.7782739243</v>
      </c>
      <c r="L357" s="45">
        <f>IFERROR(IFERROR(INDEX('2023 IP UPL Data'!N:N,MATCH(A:A,'2023 IP UPL Data'!B:B,0)),INDEX('2023 IMD UPL Data'!M:M,MATCH(A:A,'2023 IMD UPL Data'!B:B,0))),0)</f>
        <v>-929251.25683723064</v>
      </c>
      <c r="M357" s="45">
        <f>IFERROR((IF(F357="IMD",0,INDEX('2023 OP UPL Data'!M:M,MATCH(A:A,'2023 OP UPL Data'!B:B,0)))),0)</f>
        <v>2297644.2101960788</v>
      </c>
      <c r="N357" s="45">
        <f t="shared" si="132"/>
        <v>1368392.9533588481</v>
      </c>
      <c r="O357" s="45">
        <v>5556973.1166934082</v>
      </c>
      <c r="P357" s="45">
        <v>7160032.8386059739</v>
      </c>
      <c r="Q357" s="45">
        <f t="shared" si="133"/>
        <v>12717005.955299381</v>
      </c>
      <c r="R357" s="45" t="str">
        <f t="shared" si="134"/>
        <v>Yes</v>
      </c>
      <c r="S357" s="46" t="str">
        <f t="shared" si="134"/>
        <v>Yes</v>
      </c>
      <c r="T357" s="47">
        <f>ROUND(INDEX(Summary!H:H,MATCH(H:H,Summary!A:A,0)),2)</f>
        <v>0</v>
      </c>
      <c r="U357" s="47">
        <f>ROUND(INDEX(Summary!I:I,MATCH(H:H,Summary!A:A,0)),2)</f>
        <v>0.89</v>
      </c>
      <c r="V357" s="85">
        <f t="shared" si="135"/>
        <v>0</v>
      </c>
      <c r="W357" s="85">
        <f t="shared" si="135"/>
        <v>1541712.1207602832</v>
      </c>
      <c r="X357" s="45">
        <f t="shared" si="136"/>
        <v>1541712.1207602832</v>
      </c>
      <c r="Y357" s="45" t="s">
        <v>3223</v>
      </c>
      <c r="Z357" s="45" t="str">
        <f t="shared" si="137"/>
        <v>Yes</v>
      </c>
      <c r="AA357" s="45" t="str">
        <f t="shared" si="137"/>
        <v>Yes</v>
      </c>
      <c r="AB357" s="45" t="str">
        <f t="shared" si="138"/>
        <v>Yes</v>
      </c>
      <c r="AC357" s="86">
        <f t="shared" si="151"/>
        <v>0.99</v>
      </c>
      <c r="AD357" s="86">
        <f t="shared" si="152"/>
        <v>2.2599999999999998</v>
      </c>
      <c r="AE357" s="45">
        <f t="shared" si="153"/>
        <v>3885411.3887466006</v>
      </c>
      <c r="AF357" s="45">
        <f t="shared" si="153"/>
        <v>3914909.4302452127</v>
      </c>
      <c r="AG357" s="45">
        <f t="shared" si="139"/>
        <v>7800320.8189918138</v>
      </c>
      <c r="AH357" s="47">
        <f>IF(Y357="No",0,IFERROR(ROUNDDOWN(INDEX('90% of ACR'!K:K,MATCH(H:H,'90% of ACR'!A:A,0))*IF(I357&gt;0,IF(O357&gt;0,$R$4*MAX(O357-V357,0),0),0)/I357,2),0))</f>
        <v>0.98</v>
      </c>
      <c r="AI357" s="86">
        <f>IF(Y357="No",0,IFERROR(ROUNDDOWN(INDEX('90% of ACR'!R:R,MATCH(H:H,'90% of ACR'!A:A,0))*IF(J357&gt;0,IF(P357&gt;0,$R$4*MAX(P357-W357,0),0),0)/J357,2),0))</f>
        <v>2.25</v>
      </c>
      <c r="AJ357" s="45">
        <f t="shared" si="140"/>
        <v>3846164.8090622914</v>
      </c>
      <c r="AK357" s="45">
        <f t="shared" si="140"/>
        <v>3897586.8221467831</v>
      </c>
      <c r="AL357" s="47">
        <f t="shared" si="141"/>
        <v>0.98</v>
      </c>
      <c r="AM357" s="47">
        <f t="shared" si="141"/>
        <v>3.14</v>
      </c>
      <c r="AN357" s="87">
        <f>IFERROR(INDEX(FeeCalc!P:P,MATCH(C357,FeeCalc!F:F,0)),0)</f>
        <v>9285463.751969358</v>
      </c>
      <c r="AO357" s="87">
        <f>IFERROR(INDEX(FeeCalc!S:S,MATCH(C357,FeeCalc!F:F,0)),0)</f>
        <v>576216.56431894342</v>
      </c>
      <c r="AP357" s="87">
        <f t="shared" si="142"/>
        <v>9861680.3162883017</v>
      </c>
      <c r="AQ357" s="72">
        <f t="shared" si="143"/>
        <v>4184626.5319712483</v>
      </c>
      <c r="AR357" s="72">
        <f t="shared" si="144"/>
        <v>2092313.2659856242</v>
      </c>
      <c r="AS357" s="72">
        <f t="shared" si="145"/>
        <v>2092313.2659856242</v>
      </c>
      <c r="AT357" s="72">
        <f>IFERROR(IFERROR(INDEX('2023 IP UPL Data'!L:L,MATCH(A:A,'2023 IP UPL Data'!B:B,0)),INDEX('2023 IMD UPL Data'!I:I,MATCH(A:A,'2023 IMD UPL Data'!B:B,0))),0)</f>
        <v>3714478.5368372304</v>
      </c>
      <c r="AU357" s="72">
        <f>IFERROR(IF(F355="IMD",0,INDEX('2023 OP UPL Data'!J:J,MATCH(A:A,'2023 OP UPL Data'!B:B,0))),0)</f>
        <v>741362.7098039214</v>
      </c>
      <c r="AV357" s="45">
        <f t="shared" si="146"/>
        <v>4455841.2466411516</v>
      </c>
      <c r="AW357" s="72">
        <f>IFERROR(IFERROR(INDEX('2023 IP UPL Data'!M:M,MATCH(A:A,'2023 IP UPL Data'!B:B,0)),INDEX('2023 IMD UPL Data'!K:K,MATCH(A:A,'2023 IMD UPL Data'!B:B,0))),0)</f>
        <v>2785227.28</v>
      </c>
      <c r="AX357" s="72">
        <f>IFERROR(IF(F355="IMD",0,INDEX('2023 OP UPL Data'!L:L,MATCH(A:A,'2023 OP UPL Data'!B:B,0))),0)</f>
        <v>3039006.92</v>
      </c>
      <c r="AY357" s="45">
        <f t="shared" si="147"/>
        <v>5824234.1999999993</v>
      </c>
      <c r="AZ357" s="72">
        <v>9271451.6535306387</v>
      </c>
      <c r="BA357" s="72">
        <v>7901395.548409895</v>
      </c>
      <c r="BB357" s="72">
        <f t="shared" si="148"/>
        <v>9271451.6535306387</v>
      </c>
      <c r="BC357" s="72">
        <f t="shared" si="148"/>
        <v>6359683.4276496116</v>
      </c>
      <c r="BD357" s="72">
        <f t="shared" si="149"/>
        <v>15631135.08118025</v>
      </c>
      <c r="BE357" s="94">
        <f t="shared" si="150"/>
        <v>6486224.3735306393</v>
      </c>
      <c r="BF357" s="94">
        <f t="shared" si="150"/>
        <v>4862388.6284098951</v>
      </c>
      <c r="BG357" s="73">
        <f>IFERROR(INDEX('2023 IP UPL Data'!K:K,MATCH(A357,'2023 IP UPL Data'!B:B,0)),0)</f>
        <v>0</v>
      </c>
    </row>
    <row r="358" spans="1:59">
      <c r="A358" s="124" t="s">
        <v>904</v>
      </c>
      <c r="B358" s="149" t="s">
        <v>904</v>
      </c>
      <c r="C358" s="31" t="s">
        <v>905</v>
      </c>
      <c r="D358" s="181" t="s">
        <v>905</v>
      </c>
      <c r="E358" s="144" t="s">
        <v>3103</v>
      </c>
      <c r="F358" s="120" t="s">
        <v>2768</v>
      </c>
      <c r="G358" s="120" t="s">
        <v>310</v>
      </c>
      <c r="H358" s="43" t="str">
        <f t="shared" si="130"/>
        <v>Rural MRSA Northeast</v>
      </c>
      <c r="I358" s="45">
        <f>INDEX(FeeCalc!M:M,MATCH(C:C,FeeCalc!F:F,0))</f>
        <v>20407.033938334764</v>
      </c>
      <c r="J358" s="45">
        <f>INDEX(FeeCalc!L:L,MATCH(C:C,FeeCalc!F:F,0))</f>
        <v>25192.323256543754</v>
      </c>
      <c r="K358" s="45">
        <f t="shared" si="131"/>
        <v>45599.357194878517</v>
      </c>
      <c r="L358" s="45">
        <f>IFERROR(IFERROR(INDEX('2023 IP UPL Data'!N:N,MATCH(A:A,'2023 IP UPL Data'!B:B,0)),INDEX('2023 IMD UPL Data'!M:M,MATCH(A:A,'2023 IMD UPL Data'!B:B,0))),0)</f>
        <v>663.91</v>
      </c>
      <c r="M358" s="45">
        <f>IFERROR((IF(F358="IMD",0,INDEX('2023 OP UPL Data'!M:M,MATCH(A:A,'2023 OP UPL Data'!B:B,0)))),0)</f>
        <v>8346.7222580645139</v>
      </c>
      <c r="N358" s="45">
        <f t="shared" si="132"/>
        <v>9010.6322580645137</v>
      </c>
      <c r="O358" s="45">
        <v>4775.594120569308</v>
      </c>
      <c r="P358" s="45">
        <v>10186.083691693766</v>
      </c>
      <c r="Q358" s="45">
        <f t="shared" si="133"/>
        <v>14961.677812263075</v>
      </c>
      <c r="R358" s="45" t="str">
        <f t="shared" si="134"/>
        <v>Yes</v>
      </c>
      <c r="S358" s="46" t="str">
        <f t="shared" si="134"/>
        <v>Yes</v>
      </c>
      <c r="T358" s="47">
        <f>ROUND(INDEX(Summary!H:H,MATCH(H:H,Summary!A:A,0)),2)</f>
        <v>0.16</v>
      </c>
      <c r="U358" s="47">
        <f>ROUND(INDEX(Summary!I:I,MATCH(H:H,Summary!A:A,0)),2)</f>
        <v>0.42</v>
      </c>
      <c r="V358" s="85">
        <f t="shared" si="135"/>
        <v>3265.1254301335621</v>
      </c>
      <c r="W358" s="85">
        <f t="shared" si="135"/>
        <v>10580.775767748377</v>
      </c>
      <c r="X358" s="45">
        <f t="shared" si="136"/>
        <v>13845.90119788194</v>
      </c>
      <c r="Y358" s="45" t="s">
        <v>3223</v>
      </c>
      <c r="Z358" s="45" t="str">
        <f t="shared" si="137"/>
        <v>Yes</v>
      </c>
      <c r="AA358" s="45" t="str">
        <f t="shared" si="137"/>
        <v>No</v>
      </c>
      <c r="AB358" s="45" t="str">
        <f t="shared" si="138"/>
        <v>Yes</v>
      </c>
      <c r="AC358" s="86">
        <f t="shared" si="151"/>
        <v>0.05</v>
      </c>
      <c r="AD358" s="86">
        <f t="shared" si="152"/>
        <v>0</v>
      </c>
      <c r="AE358" s="45">
        <f t="shared" si="153"/>
        <v>1020.3516969167382</v>
      </c>
      <c r="AF358" s="45">
        <f t="shared" si="153"/>
        <v>0</v>
      </c>
      <c r="AG358" s="45">
        <f t="shared" si="139"/>
        <v>1020.3516969167382</v>
      </c>
      <c r="AH358" s="47">
        <f>IF(Y358="No",0,IFERROR(ROUNDDOWN(INDEX('90% of ACR'!K:K,MATCH(H:H,'90% of ACR'!A:A,0))*IF(I358&gt;0,IF(O358&gt;0,$R$4*MAX(O358-V358,0),0),0)/I358,2),0))</f>
        <v>0.02</v>
      </c>
      <c r="AI358" s="86">
        <f>IF(Y358="No",0,IFERROR(ROUNDDOWN(INDEX('90% of ACR'!R:R,MATCH(H:H,'90% of ACR'!A:A,0))*IF(J358&gt;0,IF(P358&gt;0,$R$4*MAX(P358-W358,0),0),0)/J358,2),0))</f>
        <v>0</v>
      </c>
      <c r="AJ358" s="45">
        <f t="shared" si="140"/>
        <v>408.14067876669526</v>
      </c>
      <c r="AK358" s="45">
        <f t="shared" si="140"/>
        <v>0</v>
      </c>
      <c r="AL358" s="47">
        <f t="shared" si="141"/>
        <v>0.18</v>
      </c>
      <c r="AM358" s="47">
        <f t="shared" si="141"/>
        <v>0.42</v>
      </c>
      <c r="AN358" s="87">
        <f>IFERROR(INDEX(FeeCalc!P:P,MATCH(C358,FeeCalc!F:F,0)),0)</f>
        <v>14254.041876648635</v>
      </c>
      <c r="AO358" s="87">
        <f>IFERROR(INDEX(FeeCalc!S:S,MATCH(C358,FeeCalc!F:F,0)),0)</f>
        <v>881.65532312388507</v>
      </c>
      <c r="AP358" s="87">
        <f t="shared" si="142"/>
        <v>15135.69719977252</v>
      </c>
      <c r="AQ358" s="72">
        <f t="shared" si="143"/>
        <v>6422.5606641738732</v>
      </c>
      <c r="AR358" s="72">
        <f t="shared" si="144"/>
        <v>3211.2803320869366</v>
      </c>
      <c r="AS358" s="72">
        <f t="shared" si="145"/>
        <v>3211.2803320869366</v>
      </c>
      <c r="AT358" s="72">
        <f>IFERROR(IFERROR(INDEX('2023 IP UPL Data'!L:L,MATCH(A:A,'2023 IP UPL Data'!B:B,0)),INDEX('2023 IMD UPL Data'!I:I,MATCH(A:A,'2023 IMD UPL Data'!B:B,0))),0)</f>
        <v>0.01</v>
      </c>
      <c r="AU358" s="72">
        <f>IFERROR(IF(F356="IMD",0,INDEX('2023 OP UPL Data'!J:J,MATCH(A:A,'2023 OP UPL Data'!B:B,0))),0)</f>
        <v>16623.847741935486</v>
      </c>
      <c r="AV358" s="45">
        <f t="shared" si="146"/>
        <v>16623.857741935484</v>
      </c>
      <c r="AW358" s="72">
        <f>IFERROR(IFERROR(INDEX('2023 IP UPL Data'!M:M,MATCH(A:A,'2023 IP UPL Data'!B:B,0)),INDEX('2023 IMD UPL Data'!K:K,MATCH(A:A,'2023 IMD UPL Data'!B:B,0))),0)</f>
        <v>663.92</v>
      </c>
      <c r="AX358" s="72">
        <f>IFERROR(IF(F356="IMD",0,INDEX('2023 OP UPL Data'!L:L,MATCH(A:A,'2023 OP UPL Data'!B:B,0))),0)</f>
        <v>24970.57</v>
      </c>
      <c r="AY358" s="45">
        <f t="shared" si="147"/>
        <v>25634.489999999998</v>
      </c>
      <c r="AZ358" s="72">
        <v>4775.6041205693082</v>
      </c>
      <c r="BA358" s="72">
        <v>26809.931433629252</v>
      </c>
      <c r="BB358" s="72">
        <f t="shared" si="148"/>
        <v>1510.4786904357461</v>
      </c>
      <c r="BC358" s="72">
        <f t="shared" si="148"/>
        <v>16229.155665880875</v>
      </c>
      <c r="BD358" s="72">
        <f t="shared" si="149"/>
        <v>17739.634356316619</v>
      </c>
      <c r="BE358" s="94">
        <f t="shared" si="150"/>
        <v>4111.6841205693081</v>
      </c>
      <c r="BF358" s="94">
        <f t="shared" si="150"/>
        <v>1839.3614336292521</v>
      </c>
      <c r="BG358" s="73">
        <f>IFERROR(INDEX('2023 IP UPL Data'!K:K,MATCH(A358,'2023 IP UPL Data'!B:B,0)),0)</f>
        <v>0</v>
      </c>
    </row>
    <row r="359" spans="1:59">
      <c r="A359" s="124" t="s">
        <v>614</v>
      </c>
      <c r="B359" s="149" t="s">
        <v>614</v>
      </c>
      <c r="C359" s="31" t="s">
        <v>615</v>
      </c>
      <c r="D359" s="181" t="s">
        <v>615</v>
      </c>
      <c r="E359" s="144" t="s">
        <v>3579</v>
      </c>
      <c r="F359" s="120" t="s">
        <v>2768</v>
      </c>
      <c r="G359" s="120" t="s">
        <v>227</v>
      </c>
      <c r="H359" s="43" t="str">
        <f t="shared" si="130"/>
        <v>Rural MRSA West</v>
      </c>
      <c r="I359" s="45">
        <f>INDEX(FeeCalc!M:M,MATCH(C:C,FeeCalc!F:F,0))</f>
        <v>38413.552814219394</v>
      </c>
      <c r="J359" s="45">
        <f>INDEX(FeeCalc!L:L,MATCH(C:C,FeeCalc!F:F,0))</f>
        <v>297987.31280463637</v>
      </c>
      <c r="K359" s="45">
        <f t="shared" si="131"/>
        <v>336400.86561885575</v>
      </c>
      <c r="L359" s="45">
        <f>IFERROR(IFERROR(INDEX('2023 IP UPL Data'!N:N,MATCH(A:A,'2023 IP UPL Data'!B:B,0)),INDEX('2023 IMD UPL Data'!M:M,MATCH(A:A,'2023 IMD UPL Data'!B:B,0))),0)</f>
        <v>44393.857071126258</v>
      </c>
      <c r="M359" s="45">
        <f>IFERROR((IF(F359="IMD",0,INDEX('2023 OP UPL Data'!M:M,MATCH(A:A,'2023 OP UPL Data'!B:B,0)))),0)</f>
        <v>58373.038499999995</v>
      </c>
      <c r="N359" s="45">
        <f t="shared" si="132"/>
        <v>102766.89557112625</v>
      </c>
      <c r="O359" s="45">
        <v>-13556.609570520148</v>
      </c>
      <c r="P359" s="45">
        <v>211959.61463753672</v>
      </c>
      <c r="Q359" s="45">
        <f t="shared" si="133"/>
        <v>198403.00506701658</v>
      </c>
      <c r="R359" s="45" t="str">
        <f t="shared" si="134"/>
        <v>No</v>
      </c>
      <c r="S359" s="46" t="str">
        <f t="shared" si="134"/>
        <v>Yes</v>
      </c>
      <c r="T359" s="47">
        <f>ROUND(INDEX(Summary!H:H,MATCH(H:H,Summary!A:A,0)),2)</f>
        <v>0</v>
      </c>
      <c r="U359" s="47">
        <f>ROUND(INDEX(Summary!I:I,MATCH(H:H,Summary!A:A,0)),2)</f>
        <v>0.28999999999999998</v>
      </c>
      <c r="V359" s="85">
        <f t="shared" si="135"/>
        <v>0</v>
      </c>
      <c r="W359" s="85">
        <f t="shared" si="135"/>
        <v>86416.320713344539</v>
      </c>
      <c r="X359" s="45">
        <f t="shared" si="136"/>
        <v>86416.320713344539</v>
      </c>
      <c r="Y359" s="45" t="s">
        <v>3223</v>
      </c>
      <c r="Z359" s="45" t="str">
        <f t="shared" si="137"/>
        <v>No</v>
      </c>
      <c r="AA359" s="45" t="str">
        <f t="shared" si="137"/>
        <v>Yes</v>
      </c>
      <c r="AB359" s="45" t="str">
        <f t="shared" si="138"/>
        <v>Yes</v>
      </c>
      <c r="AC359" s="86">
        <f t="shared" si="151"/>
        <v>0</v>
      </c>
      <c r="AD359" s="86">
        <f t="shared" si="152"/>
        <v>0.28999999999999998</v>
      </c>
      <c r="AE359" s="45">
        <f t="shared" si="153"/>
        <v>0</v>
      </c>
      <c r="AF359" s="45">
        <f t="shared" si="153"/>
        <v>86416.320713344539</v>
      </c>
      <c r="AG359" s="45">
        <f t="shared" si="139"/>
        <v>86416.320713344539</v>
      </c>
      <c r="AH359" s="47">
        <f>IF(Y359="No",0,IFERROR(ROUNDDOWN(INDEX('90% of ACR'!K:K,MATCH(H:H,'90% of ACR'!A:A,0))*IF(I359&gt;0,IF(O359&gt;0,$R$4*MAX(O359-V359,0),0),0)/I359,2),0))</f>
        <v>0</v>
      </c>
      <c r="AI359" s="86">
        <f>IF(Y359="No",0,IFERROR(ROUNDDOWN(INDEX('90% of ACR'!R:R,MATCH(H:H,'90% of ACR'!A:A,0))*IF(J359&gt;0,IF(P359&gt;0,$R$4*MAX(P359-W359,0),0),0)/J359,2),0))</f>
        <v>0.28999999999999998</v>
      </c>
      <c r="AJ359" s="45">
        <f t="shared" si="140"/>
        <v>0</v>
      </c>
      <c r="AK359" s="45">
        <f t="shared" si="140"/>
        <v>86416.320713344539</v>
      </c>
      <c r="AL359" s="47">
        <f t="shared" si="141"/>
        <v>0</v>
      </c>
      <c r="AM359" s="47">
        <f t="shared" si="141"/>
        <v>0.57999999999999996</v>
      </c>
      <c r="AN359" s="87">
        <f>IFERROR(INDEX(FeeCalc!P:P,MATCH(C359,FeeCalc!F:F,0)),0)</f>
        <v>172832.64142668908</v>
      </c>
      <c r="AO359" s="87">
        <f>IFERROR(INDEX(FeeCalc!S:S,MATCH(C359,FeeCalc!F:F,0)),0)</f>
        <v>10652.721058020854</v>
      </c>
      <c r="AP359" s="87">
        <f t="shared" si="142"/>
        <v>183485.36248470994</v>
      </c>
      <c r="AQ359" s="72">
        <f t="shared" si="143"/>
        <v>77858.710833861958</v>
      </c>
      <c r="AR359" s="72">
        <f t="shared" si="144"/>
        <v>38929.355416930979</v>
      </c>
      <c r="AS359" s="72">
        <f t="shared" si="145"/>
        <v>38929.355416930979</v>
      </c>
      <c r="AT359" s="72">
        <f>IFERROR(IFERROR(INDEX('2023 IP UPL Data'!L:L,MATCH(A:A,'2023 IP UPL Data'!B:B,0)),INDEX('2023 IMD UPL Data'!I:I,MATCH(A:A,'2023 IMD UPL Data'!B:B,0))),0)</f>
        <v>44754.482928873738</v>
      </c>
      <c r="AU359" s="72">
        <f>IFERROR(IF(F357="IMD",0,INDEX('2023 OP UPL Data'!J:J,MATCH(A:A,'2023 OP UPL Data'!B:B,0))),0)</f>
        <v>97976.021500000003</v>
      </c>
      <c r="AV359" s="45">
        <f t="shared" si="146"/>
        <v>142730.50442887374</v>
      </c>
      <c r="AW359" s="72">
        <f>IFERROR(IFERROR(INDEX('2023 IP UPL Data'!M:M,MATCH(A:A,'2023 IP UPL Data'!B:B,0)),INDEX('2023 IMD UPL Data'!K:K,MATCH(A:A,'2023 IMD UPL Data'!B:B,0))),0)</f>
        <v>89148.34</v>
      </c>
      <c r="AX359" s="72">
        <f>IFERROR(IF(F357="IMD",0,INDEX('2023 OP UPL Data'!L:L,MATCH(A:A,'2023 OP UPL Data'!B:B,0))),0)</f>
        <v>156349.06</v>
      </c>
      <c r="AY359" s="45">
        <f t="shared" si="147"/>
        <v>245497.4</v>
      </c>
      <c r="AZ359" s="72">
        <v>31197.87335835359</v>
      </c>
      <c r="BA359" s="72">
        <v>309935.63613753673</v>
      </c>
      <c r="BB359" s="72">
        <f t="shared" si="148"/>
        <v>31197.87335835359</v>
      </c>
      <c r="BC359" s="72">
        <f t="shared" si="148"/>
        <v>223519.31542419217</v>
      </c>
      <c r="BD359" s="72">
        <f t="shared" si="149"/>
        <v>254717.18878254574</v>
      </c>
      <c r="BE359" s="94">
        <f t="shared" si="150"/>
        <v>0</v>
      </c>
      <c r="BF359" s="94">
        <f t="shared" si="150"/>
        <v>153586.57613753673</v>
      </c>
      <c r="BG359" s="73">
        <f>IFERROR(INDEX('2023 IP UPL Data'!K:K,MATCH(A359,'2023 IP UPL Data'!B:B,0)),0)</f>
        <v>0</v>
      </c>
    </row>
    <row r="360" spans="1:59">
      <c r="A360" s="124" t="s">
        <v>789</v>
      </c>
      <c r="B360" s="149" t="s">
        <v>789</v>
      </c>
      <c r="C360" s="31" t="s">
        <v>790</v>
      </c>
      <c r="D360" s="181" t="s">
        <v>790</v>
      </c>
      <c r="E360" s="144" t="s">
        <v>2977</v>
      </c>
      <c r="F360" s="120" t="s">
        <v>2718</v>
      </c>
      <c r="G360" s="120" t="s">
        <v>1517</v>
      </c>
      <c r="H360" s="43" t="str">
        <f t="shared" si="130"/>
        <v>Urban Hidalgo</v>
      </c>
      <c r="I360" s="45">
        <f>INDEX(FeeCalc!M:M,MATCH(C:C,FeeCalc!F:F,0))</f>
        <v>9039785.7284231372</v>
      </c>
      <c r="J360" s="45">
        <f>INDEX(FeeCalc!L:L,MATCH(C:C,FeeCalc!F:F,0))</f>
        <v>6279102.4512379533</v>
      </c>
      <c r="K360" s="45">
        <f t="shared" si="131"/>
        <v>15318888.179661091</v>
      </c>
      <c r="L360" s="45">
        <f>IFERROR(IFERROR(INDEX('2023 IP UPL Data'!N:N,MATCH(A:A,'2023 IP UPL Data'!B:B,0)),INDEX('2023 IMD UPL Data'!M:M,MATCH(A:A,'2023 IMD UPL Data'!B:B,0))),0)</f>
        <v>12047030.897514792</v>
      </c>
      <c r="M360" s="45">
        <f>IFERROR((IF(F360="IMD",0,INDEX('2023 OP UPL Data'!M:M,MATCH(A:A,'2023 OP UPL Data'!B:B,0)))),0)</f>
        <v>9866975.5300591718</v>
      </c>
      <c r="N360" s="45">
        <f t="shared" si="132"/>
        <v>21914006.427573964</v>
      </c>
      <c r="O360" s="45">
        <v>29407312.461826265</v>
      </c>
      <c r="P360" s="45">
        <v>15257310.483933849</v>
      </c>
      <c r="Q360" s="45">
        <f t="shared" si="133"/>
        <v>44664622.945760116</v>
      </c>
      <c r="R360" s="45" t="str">
        <f t="shared" si="134"/>
        <v>Yes</v>
      </c>
      <c r="S360" s="46" t="str">
        <f t="shared" si="134"/>
        <v>Yes</v>
      </c>
      <c r="T360" s="47">
        <f>ROUND(INDEX(Summary!H:H,MATCH(H:H,Summary!A:A,0)),2)</f>
        <v>1.21</v>
      </c>
      <c r="U360" s="47">
        <f>ROUND(INDEX(Summary!I:I,MATCH(H:H,Summary!A:A,0)),2)</f>
        <v>0.94</v>
      </c>
      <c r="V360" s="85">
        <f t="shared" si="135"/>
        <v>10938140.731391996</v>
      </c>
      <c r="W360" s="85">
        <f t="shared" si="135"/>
        <v>5902356.3041636758</v>
      </c>
      <c r="X360" s="45">
        <f t="shared" si="136"/>
        <v>16840497.035555672</v>
      </c>
      <c r="Y360" s="45" t="s">
        <v>3223</v>
      </c>
      <c r="Z360" s="45" t="str">
        <f t="shared" si="137"/>
        <v>Yes</v>
      </c>
      <c r="AA360" s="45" t="str">
        <f t="shared" si="137"/>
        <v>Yes</v>
      </c>
      <c r="AB360" s="45" t="str">
        <f t="shared" si="138"/>
        <v>Yes</v>
      </c>
      <c r="AC360" s="86">
        <f t="shared" si="151"/>
        <v>1.42</v>
      </c>
      <c r="AD360" s="86">
        <f t="shared" si="152"/>
        <v>1.04</v>
      </c>
      <c r="AE360" s="45">
        <f t="shared" si="153"/>
        <v>12836495.734360855</v>
      </c>
      <c r="AF360" s="45">
        <f t="shared" si="153"/>
        <v>6530266.5492874719</v>
      </c>
      <c r="AG360" s="45">
        <f t="shared" si="139"/>
        <v>19366762.283648327</v>
      </c>
      <c r="AH360" s="47">
        <f>IF(Y360="No",0,IFERROR(ROUNDDOWN(INDEX('90% of ACR'!K:K,MATCH(H:H,'90% of ACR'!A:A,0))*IF(I360&gt;0,IF(O360&gt;0,$R$4*MAX(O360-V360,0),0),0)/I360,2),0))</f>
        <v>1.37</v>
      </c>
      <c r="AI360" s="86">
        <f>IF(Y360="No",0,IFERROR(ROUNDDOWN(INDEX('90% of ACR'!R:R,MATCH(H:H,'90% of ACR'!A:A,0))*IF(J360&gt;0,IF(P360&gt;0,$R$4*MAX(P360-W360,0),0),0)/J360,2),0))</f>
        <v>0.76</v>
      </c>
      <c r="AJ360" s="45">
        <f t="shared" si="140"/>
        <v>12384506.4479397</v>
      </c>
      <c r="AK360" s="45">
        <f t="shared" si="140"/>
        <v>4772117.8629408441</v>
      </c>
      <c r="AL360" s="47">
        <f t="shared" si="141"/>
        <v>2.58</v>
      </c>
      <c r="AM360" s="47">
        <f t="shared" si="141"/>
        <v>1.7</v>
      </c>
      <c r="AN360" s="87">
        <f>IFERROR(INDEX(FeeCalc!P:P,MATCH(C360,FeeCalc!F:F,0)),0)</f>
        <v>33997121.346436217</v>
      </c>
      <c r="AO360" s="87">
        <f>IFERROR(INDEX(FeeCalc!S:S,MATCH(C360,FeeCalc!F:F,0)),0)</f>
        <v>2104317.9517606795</v>
      </c>
      <c r="AP360" s="87">
        <f t="shared" si="142"/>
        <v>36101439.298196897</v>
      </c>
      <c r="AQ360" s="72">
        <f t="shared" si="143"/>
        <v>15318995.940282488</v>
      </c>
      <c r="AR360" s="72">
        <f t="shared" si="144"/>
        <v>7659497.9701412441</v>
      </c>
      <c r="AS360" s="72">
        <f t="shared" si="145"/>
        <v>7659497.9701412441</v>
      </c>
      <c r="AT360" s="72">
        <f>IFERROR(IFERROR(INDEX('2023 IP UPL Data'!L:L,MATCH(A:A,'2023 IP UPL Data'!B:B,0)),INDEX('2023 IMD UPL Data'!I:I,MATCH(A:A,'2023 IMD UPL Data'!B:B,0))),0)</f>
        <v>9095341.8224852066</v>
      </c>
      <c r="AU360" s="72">
        <f>IFERROR(IF(F358="IMD",0,INDEX('2023 OP UPL Data'!J:J,MATCH(A:A,'2023 OP UPL Data'!B:B,0))),0)</f>
        <v>3408636.2899408285</v>
      </c>
      <c r="AV360" s="45">
        <f t="shared" si="146"/>
        <v>12503978.112426035</v>
      </c>
      <c r="AW360" s="72">
        <f>IFERROR(IFERROR(INDEX('2023 IP UPL Data'!M:M,MATCH(A:A,'2023 IP UPL Data'!B:B,0)),INDEX('2023 IMD UPL Data'!K:K,MATCH(A:A,'2023 IMD UPL Data'!B:B,0))),0)</f>
        <v>21142372.719999999</v>
      </c>
      <c r="AX360" s="72">
        <f>IFERROR(IF(F358="IMD",0,INDEX('2023 OP UPL Data'!L:L,MATCH(A:A,'2023 OP UPL Data'!B:B,0))),0)</f>
        <v>13275611.82</v>
      </c>
      <c r="AY360" s="45">
        <f t="shared" si="147"/>
        <v>34417984.539999999</v>
      </c>
      <c r="AZ360" s="72">
        <v>38502654.284311473</v>
      </c>
      <c r="BA360" s="72">
        <v>18665946.773874678</v>
      </c>
      <c r="BB360" s="72">
        <f t="shared" si="148"/>
        <v>27564513.552919477</v>
      </c>
      <c r="BC360" s="72">
        <f t="shared" si="148"/>
        <v>12763590.469711002</v>
      </c>
      <c r="BD360" s="72">
        <f t="shared" si="149"/>
        <v>40328104.022630483</v>
      </c>
      <c r="BE360" s="94">
        <f t="shared" si="150"/>
        <v>17360281.564311475</v>
      </c>
      <c r="BF360" s="94">
        <f t="shared" si="150"/>
        <v>5390334.9538746774</v>
      </c>
      <c r="BG360" s="73">
        <f>IFERROR(INDEX('2023 IP UPL Data'!K:K,MATCH(A360,'2023 IP UPL Data'!B:B,0)),0)</f>
        <v>0</v>
      </c>
    </row>
    <row r="361" spans="1:59">
      <c r="A361" s="124" t="s">
        <v>554</v>
      </c>
      <c r="B361" s="149" t="s">
        <v>554</v>
      </c>
      <c r="C361" s="31" t="s">
        <v>555</v>
      </c>
      <c r="D361" s="181" t="s">
        <v>555</v>
      </c>
      <c r="E361" s="144" t="s">
        <v>2979</v>
      </c>
      <c r="F361" s="120" t="s">
        <v>2718</v>
      </c>
      <c r="G361" s="120" t="s">
        <v>1202</v>
      </c>
      <c r="H361" s="43" t="str">
        <f t="shared" si="130"/>
        <v>Urban Travis</v>
      </c>
      <c r="I361" s="45">
        <f>INDEX(FeeCalc!M:M,MATCH(C:C,FeeCalc!F:F,0))</f>
        <v>1537391.4857929717</v>
      </c>
      <c r="J361" s="45">
        <f>INDEX(FeeCalc!L:L,MATCH(C:C,FeeCalc!F:F,0))</f>
        <v>1066789.4540906968</v>
      </c>
      <c r="K361" s="45">
        <f t="shared" si="131"/>
        <v>2604180.9398836684</v>
      </c>
      <c r="L361" s="45">
        <f>IFERROR(IFERROR(INDEX('2023 IP UPL Data'!N:N,MATCH(A:A,'2023 IP UPL Data'!B:B,0)),INDEX('2023 IMD UPL Data'!M:M,MATCH(A:A,'2023 IMD UPL Data'!B:B,0))),0)</f>
        <v>1517053.2174683544</v>
      </c>
      <c r="M361" s="45">
        <f>IFERROR((IF(F361="IMD",0,INDEX('2023 OP UPL Data'!M:M,MATCH(A:A,'2023 OP UPL Data'!B:B,0)))),0)</f>
        <v>1123548.2248101267</v>
      </c>
      <c r="N361" s="45">
        <f t="shared" si="132"/>
        <v>2640601.4422784811</v>
      </c>
      <c r="O361" s="45">
        <v>5534727.7231600154</v>
      </c>
      <c r="P361" s="45">
        <v>1797646.5987475384</v>
      </c>
      <c r="Q361" s="45">
        <f t="shared" si="133"/>
        <v>7332374.3219075538</v>
      </c>
      <c r="R361" s="45" t="str">
        <f t="shared" si="134"/>
        <v>Yes</v>
      </c>
      <c r="S361" s="46" t="str">
        <f t="shared" si="134"/>
        <v>Yes</v>
      </c>
      <c r="T361" s="47">
        <f>ROUND(INDEX(Summary!H:H,MATCH(H:H,Summary!A:A,0)),2)</f>
        <v>0.75</v>
      </c>
      <c r="U361" s="47">
        <f>ROUND(INDEX(Summary!I:I,MATCH(H:H,Summary!A:A,0)),2)</f>
        <v>1.83</v>
      </c>
      <c r="V361" s="85">
        <f t="shared" si="135"/>
        <v>1153043.6143447286</v>
      </c>
      <c r="W361" s="85">
        <f t="shared" si="135"/>
        <v>1952224.7009859751</v>
      </c>
      <c r="X361" s="45">
        <f t="shared" si="136"/>
        <v>3105268.3153307037</v>
      </c>
      <c r="Y361" s="45" t="s">
        <v>3223</v>
      </c>
      <c r="Z361" s="45" t="str">
        <f t="shared" si="137"/>
        <v>Yes</v>
      </c>
      <c r="AA361" s="45" t="str">
        <f t="shared" si="137"/>
        <v>No</v>
      </c>
      <c r="AB361" s="45" t="str">
        <f t="shared" si="138"/>
        <v>Yes</v>
      </c>
      <c r="AC361" s="86">
        <f t="shared" si="151"/>
        <v>1.99</v>
      </c>
      <c r="AD361" s="86">
        <f t="shared" si="152"/>
        <v>0</v>
      </c>
      <c r="AE361" s="45">
        <f t="shared" si="153"/>
        <v>3059409.0567280138</v>
      </c>
      <c r="AF361" s="45">
        <f t="shared" si="153"/>
        <v>0</v>
      </c>
      <c r="AG361" s="45">
        <f t="shared" si="139"/>
        <v>3059409.0567280138</v>
      </c>
      <c r="AH361" s="47">
        <f>IF(Y361="No",0,IFERROR(ROUNDDOWN(INDEX('90% of ACR'!K:K,MATCH(H:H,'90% of ACR'!A:A,0))*IF(I361&gt;0,IF(O361&gt;0,$R$4*MAX(O361-V361,0),0),0)/I361,2),0))</f>
        <v>1.98</v>
      </c>
      <c r="AI361" s="86">
        <f>IF(Y361="No",0,IFERROR(ROUNDDOWN(INDEX('90% of ACR'!R:R,MATCH(H:H,'90% of ACR'!A:A,0))*IF(J361&gt;0,IF(P361&gt;0,$R$4*MAX(P361-W361,0),0),0)/J361,2),0))</f>
        <v>0</v>
      </c>
      <c r="AJ361" s="45">
        <f t="shared" si="140"/>
        <v>3044035.1418700838</v>
      </c>
      <c r="AK361" s="45">
        <f t="shared" si="140"/>
        <v>0</v>
      </c>
      <c r="AL361" s="47">
        <f t="shared" si="141"/>
        <v>2.73</v>
      </c>
      <c r="AM361" s="47">
        <f t="shared" si="141"/>
        <v>1.83</v>
      </c>
      <c r="AN361" s="87">
        <f>IFERROR(INDEX(FeeCalc!P:P,MATCH(C361,FeeCalc!F:F,0)),0)</f>
        <v>6149303.457200788</v>
      </c>
      <c r="AO361" s="87">
        <f>IFERROR(INDEX(FeeCalc!S:S,MATCH(C361,FeeCalc!F:F,0)),0)</f>
        <v>380138.78466788016</v>
      </c>
      <c r="AP361" s="87">
        <f t="shared" si="142"/>
        <v>6529442.2418686682</v>
      </c>
      <c r="AQ361" s="72">
        <f t="shared" si="143"/>
        <v>2770651.2853766158</v>
      </c>
      <c r="AR361" s="72">
        <f t="shared" si="144"/>
        <v>1385325.6426883079</v>
      </c>
      <c r="AS361" s="72">
        <f t="shared" si="145"/>
        <v>1385325.6426883079</v>
      </c>
      <c r="AT361" s="72">
        <f>IFERROR(IFERROR(INDEX('2023 IP UPL Data'!L:L,MATCH(A:A,'2023 IP UPL Data'!B:B,0)),INDEX('2023 IMD UPL Data'!I:I,MATCH(A:A,'2023 IMD UPL Data'!B:B,0))),0)</f>
        <v>1909203.2025316455</v>
      </c>
      <c r="AU361" s="72">
        <f>IFERROR(IF(F359="IMD",0,INDEX('2023 OP UPL Data'!J:J,MATCH(A:A,'2023 OP UPL Data'!B:B,0))),0)</f>
        <v>741717.21518987336</v>
      </c>
      <c r="AV361" s="45">
        <f t="shared" si="146"/>
        <v>2650920.4177215188</v>
      </c>
      <c r="AW361" s="72">
        <f>IFERROR(IFERROR(INDEX('2023 IP UPL Data'!M:M,MATCH(A:A,'2023 IP UPL Data'!B:B,0)),INDEX('2023 IMD UPL Data'!K:K,MATCH(A:A,'2023 IMD UPL Data'!B:B,0))),0)</f>
        <v>3426256.42</v>
      </c>
      <c r="AX361" s="72">
        <f>IFERROR(IF(F359="IMD",0,INDEX('2023 OP UPL Data'!L:L,MATCH(A:A,'2023 OP UPL Data'!B:B,0))),0)</f>
        <v>1865265.44</v>
      </c>
      <c r="AY361" s="45">
        <f t="shared" si="147"/>
        <v>5291521.8599999994</v>
      </c>
      <c r="AZ361" s="72">
        <v>7443930.9256916605</v>
      </c>
      <c r="BA361" s="72">
        <v>2539363.8139374116</v>
      </c>
      <c r="BB361" s="72">
        <f t="shared" si="148"/>
        <v>6290887.3113469314</v>
      </c>
      <c r="BC361" s="72">
        <f t="shared" si="148"/>
        <v>587139.11295143655</v>
      </c>
      <c r="BD361" s="72">
        <f t="shared" si="149"/>
        <v>6878026.4242983675</v>
      </c>
      <c r="BE361" s="94">
        <f t="shared" si="150"/>
        <v>4017674.5056916606</v>
      </c>
      <c r="BF361" s="94">
        <f t="shared" si="150"/>
        <v>674098.3739374117</v>
      </c>
      <c r="BG361" s="73">
        <f>IFERROR(INDEX('2023 IP UPL Data'!K:K,MATCH(A361,'2023 IP UPL Data'!B:B,0)),0)</f>
        <v>0</v>
      </c>
    </row>
    <row r="362" spans="1:59">
      <c r="A362" s="124" t="s">
        <v>1557</v>
      </c>
      <c r="B362" s="149" t="s">
        <v>1557</v>
      </c>
      <c r="C362" s="31" t="s">
        <v>2013</v>
      </c>
      <c r="D362" s="181" t="s">
        <v>2013</v>
      </c>
      <c r="E362" s="144" t="s">
        <v>2981</v>
      </c>
      <c r="F362" s="120" t="s">
        <v>2718</v>
      </c>
      <c r="G362" s="120" t="s">
        <v>1553</v>
      </c>
      <c r="H362" s="43" t="str">
        <f t="shared" si="130"/>
        <v>Urban Nueces</v>
      </c>
      <c r="I362" s="45">
        <f>INDEX(FeeCalc!M:M,MATCH(C:C,FeeCalc!F:F,0))</f>
        <v>4502544.7552322438</v>
      </c>
      <c r="J362" s="45">
        <f>INDEX(FeeCalc!L:L,MATCH(C:C,FeeCalc!F:F,0))</f>
        <v>3667743.1759599941</v>
      </c>
      <c r="K362" s="45">
        <f t="shared" si="131"/>
        <v>8170287.9311922379</v>
      </c>
      <c r="L362" s="45">
        <f>IFERROR(IFERROR(INDEX('2023 IP UPL Data'!N:N,MATCH(A:A,'2023 IP UPL Data'!B:B,0)),INDEX('2023 IMD UPL Data'!M:M,MATCH(A:A,'2023 IMD UPL Data'!B:B,0))),0)</f>
        <v>4883990.4579012357</v>
      </c>
      <c r="M362" s="45">
        <f>IFERROR((IF(F362="IMD",0,INDEX('2023 OP UPL Data'!M:M,MATCH(A:A,'2023 OP UPL Data'!B:B,0)))),0)</f>
        <v>4762352.9885185184</v>
      </c>
      <c r="N362" s="45">
        <f t="shared" si="132"/>
        <v>9646343.4464197531</v>
      </c>
      <c r="O362" s="45">
        <v>12113476.91964802</v>
      </c>
      <c r="P362" s="45">
        <v>10299904.561826091</v>
      </c>
      <c r="Q362" s="45">
        <f t="shared" si="133"/>
        <v>22413381.481474109</v>
      </c>
      <c r="R362" s="45" t="str">
        <f t="shared" si="134"/>
        <v>Yes</v>
      </c>
      <c r="S362" s="46" t="str">
        <f t="shared" si="134"/>
        <v>Yes</v>
      </c>
      <c r="T362" s="47">
        <f>ROUND(INDEX(Summary!H:H,MATCH(H:H,Summary!A:A,0)),2)</f>
        <v>0.66</v>
      </c>
      <c r="U362" s="47">
        <f>ROUND(INDEX(Summary!I:I,MATCH(H:H,Summary!A:A,0)),2)</f>
        <v>1.49</v>
      </c>
      <c r="V362" s="85">
        <f t="shared" si="135"/>
        <v>2971679.5384532809</v>
      </c>
      <c r="W362" s="85">
        <f t="shared" si="135"/>
        <v>5464937.3321803911</v>
      </c>
      <c r="X362" s="45">
        <f t="shared" si="136"/>
        <v>8436616.8706336729</v>
      </c>
      <c r="Y362" s="45" t="s">
        <v>3223</v>
      </c>
      <c r="Z362" s="45" t="str">
        <f t="shared" si="137"/>
        <v>Yes</v>
      </c>
      <c r="AA362" s="45" t="str">
        <f t="shared" si="137"/>
        <v>Yes</v>
      </c>
      <c r="AB362" s="45" t="str">
        <f t="shared" si="138"/>
        <v>Yes</v>
      </c>
      <c r="AC362" s="86">
        <f t="shared" si="151"/>
        <v>1.41</v>
      </c>
      <c r="AD362" s="86">
        <f t="shared" si="152"/>
        <v>0.92</v>
      </c>
      <c r="AE362" s="45">
        <f t="shared" si="153"/>
        <v>6348588.1048774635</v>
      </c>
      <c r="AF362" s="45">
        <f t="shared" si="153"/>
        <v>3374323.7218831945</v>
      </c>
      <c r="AG362" s="45">
        <f t="shared" si="139"/>
        <v>9722911.8267606571</v>
      </c>
      <c r="AH362" s="47">
        <f>IF(Y362="No",0,IFERROR(ROUNDDOWN(INDEX('90% of ACR'!K:K,MATCH(H:H,'90% of ACR'!A:A,0))*IF(I362&gt;0,IF(O362&gt;0,$R$4*MAX(O362-V362,0),0),0)/I362,2),0))</f>
        <v>1.41</v>
      </c>
      <c r="AI362" s="86">
        <f>IF(Y362="No",0,IFERROR(ROUNDDOWN(INDEX('90% of ACR'!R:R,MATCH(H:H,'90% of ACR'!A:A,0))*IF(J362&gt;0,IF(P362&gt;0,$R$4*MAX(P362-W362,0),0),0)/J362,2),0))</f>
        <v>0.76</v>
      </c>
      <c r="AJ362" s="45">
        <f t="shared" si="140"/>
        <v>6348588.1048774635</v>
      </c>
      <c r="AK362" s="45">
        <f t="shared" si="140"/>
        <v>2787484.8137295954</v>
      </c>
      <c r="AL362" s="47">
        <f t="shared" si="141"/>
        <v>2.0699999999999998</v>
      </c>
      <c r="AM362" s="47">
        <f t="shared" si="141"/>
        <v>2.25</v>
      </c>
      <c r="AN362" s="87">
        <f>IFERROR(INDEX(FeeCalc!P:P,MATCH(C362,FeeCalc!F:F,0)),0)</f>
        <v>17572689.789240729</v>
      </c>
      <c r="AO362" s="87">
        <f>IFERROR(INDEX(FeeCalc!S:S,MATCH(C362,FeeCalc!F:F,0)),0)</f>
        <v>1087970.7971044523</v>
      </c>
      <c r="AP362" s="87">
        <f t="shared" si="142"/>
        <v>18660660.586345181</v>
      </c>
      <c r="AQ362" s="72">
        <f t="shared" si="143"/>
        <v>7918315.4279250242</v>
      </c>
      <c r="AR362" s="72">
        <f t="shared" si="144"/>
        <v>3959157.7139625121</v>
      </c>
      <c r="AS362" s="72">
        <f t="shared" si="145"/>
        <v>3959157.7139625121</v>
      </c>
      <c r="AT362" s="72">
        <f>IFERROR(IFERROR(INDEX('2023 IP UPL Data'!L:L,MATCH(A:A,'2023 IP UPL Data'!B:B,0)),INDEX('2023 IMD UPL Data'!I:I,MATCH(A:A,'2023 IMD UPL Data'!B:B,0))),0)</f>
        <v>4396180.4320987649</v>
      </c>
      <c r="AU362" s="72">
        <f>IFERROR(IF(F360="IMD",0,INDEX('2023 OP UPL Data'!J:J,MATCH(A:A,'2023 OP UPL Data'!B:B,0))),0)</f>
        <v>1993561.9814814813</v>
      </c>
      <c r="AV362" s="45">
        <f t="shared" si="146"/>
        <v>6389742.4135802463</v>
      </c>
      <c r="AW362" s="72">
        <f>IFERROR(IFERROR(INDEX('2023 IP UPL Data'!M:M,MATCH(A:A,'2023 IP UPL Data'!B:B,0)),INDEX('2023 IMD UPL Data'!K:K,MATCH(A:A,'2023 IMD UPL Data'!B:B,0))),0)</f>
        <v>9280170.8900000006</v>
      </c>
      <c r="AX362" s="72">
        <f>IFERROR(IF(F360="IMD",0,INDEX('2023 OP UPL Data'!L:L,MATCH(A:A,'2023 OP UPL Data'!B:B,0))),0)</f>
        <v>6755914.9699999997</v>
      </c>
      <c r="AY362" s="45">
        <f t="shared" si="147"/>
        <v>16036085.859999999</v>
      </c>
      <c r="AZ362" s="72">
        <v>16509657.351746785</v>
      </c>
      <c r="BA362" s="72">
        <v>12293466.543307573</v>
      </c>
      <c r="BB362" s="72">
        <f t="shared" si="148"/>
        <v>13537977.813293504</v>
      </c>
      <c r="BC362" s="72">
        <f t="shared" si="148"/>
        <v>6828529.2111271815</v>
      </c>
      <c r="BD362" s="72">
        <f t="shared" si="149"/>
        <v>20366507.024420682</v>
      </c>
      <c r="BE362" s="94">
        <f t="shared" si="150"/>
        <v>7229486.4617467839</v>
      </c>
      <c r="BF362" s="94">
        <f t="shared" si="150"/>
        <v>5537551.5733075729</v>
      </c>
      <c r="BG362" s="73">
        <f>IFERROR(INDEX('2023 IP UPL Data'!K:K,MATCH(A362,'2023 IP UPL Data'!B:B,0)),0)</f>
        <v>0</v>
      </c>
    </row>
    <row r="363" spans="1:59">
      <c r="A363" s="124" t="s">
        <v>1149</v>
      </c>
      <c r="B363" s="149" t="s">
        <v>1149</v>
      </c>
      <c r="C363" s="31" t="s">
        <v>1150</v>
      </c>
      <c r="D363" s="181" t="s">
        <v>1150</v>
      </c>
      <c r="E363" s="144" t="s">
        <v>3580</v>
      </c>
      <c r="F363" s="120" t="s">
        <v>2768</v>
      </c>
      <c r="G363" s="120" t="s">
        <v>1555</v>
      </c>
      <c r="H363" s="43" t="str">
        <f t="shared" si="130"/>
        <v>Rural Jefferson</v>
      </c>
      <c r="I363" s="45">
        <f>INDEX(FeeCalc!M:M,MATCH(C:C,FeeCalc!F:F,0))</f>
        <v>46106.642023656066</v>
      </c>
      <c r="J363" s="45">
        <f>INDEX(FeeCalc!L:L,MATCH(C:C,FeeCalc!F:F,0))</f>
        <v>603167.60610550363</v>
      </c>
      <c r="K363" s="45">
        <f t="shared" si="131"/>
        <v>649274.24812915968</v>
      </c>
      <c r="L363" s="45">
        <f>IFERROR(IFERROR(INDEX('2023 IP UPL Data'!N:N,MATCH(A:A,'2023 IP UPL Data'!B:B,0)),INDEX('2023 IMD UPL Data'!M:M,MATCH(A:A,'2023 IMD UPL Data'!B:B,0))),0)</f>
        <v>34520.130820924882</v>
      </c>
      <c r="M363" s="45">
        <f>IFERROR((IF(F363="IMD",0,INDEX('2023 OP UPL Data'!M:M,MATCH(A:A,'2023 OP UPL Data'!B:B,0)))),0)</f>
        <v>303894.78951515153</v>
      </c>
      <c r="N363" s="45">
        <f t="shared" si="132"/>
        <v>338414.92033607641</v>
      </c>
      <c r="O363" s="45">
        <v>-84759.763366234896</v>
      </c>
      <c r="P363" s="45">
        <v>172187.84829226678</v>
      </c>
      <c r="Q363" s="45">
        <f t="shared" si="133"/>
        <v>87428.084926031879</v>
      </c>
      <c r="R363" s="45" t="str">
        <f t="shared" si="134"/>
        <v>No</v>
      </c>
      <c r="S363" s="46" t="str">
        <f t="shared" si="134"/>
        <v>Yes</v>
      </c>
      <c r="T363" s="47">
        <f>ROUND(INDEX(Summary!H:H,MATCH(H:H,Summary!A:A,0)),2)</f>
        <v>0</v>
      </c>
      <c r="U363" s="47">
        <f>ROUND(INDEX(Summary!I:I,MATCH(H:H,Summary!A:A,0)),2)</f>
        <v>0.39</v>
      </c>
      <c r="V363" s="85">
        <f t="shared" si="135"/>
        <v>0</v>
      </c>
      <c r="W363" s="85">
        <f t="shared" si="135"/>
        <v>235235.36638114642</v>
      </c>
      <c r="X363" s="45">
        <f t="shared" si="136"/>
        <v>235235.36638114642</v>
      </c>
      <c r="Y363" s="45" t="s">
        <v>3223</v>
      </c>
      <c r="Z363" s="45" t="str">
        <f t="shared" si="137"/>
        <v>No</v>
      </c>
      <c r="AA363" s="45" t="str">
        <f t="shared" si="137"/>
        <v>No</v>
      </c>
      <c r="AB363" s="45" t="str">
        <f t="shared" si="138"/>
        <v>No</v>
      </c>
      <c r="AC363" s="86">
        <f t="shared" si="151"/>
        <v>0</v>
      </c>
      <c r="AD363" s="86">
        <f t="shared" si="152"/>
        <v>0</v>
      </c>
      <c r="AE363" s="45">
        <f t="shared" si="153"/>
        <v>0</v>
      </c>
      <c r="AF363" s="45">
        <f t="shared" si="153"/>
        <v>0</v>
      </c>
      <c r="AG363" s="45">
        <f t="shared" si="139"/>
        <v>0</v>
      </c>
      <c r="AH363" s="47">
        <f>IF(Y363="No",0,IFERROR(ROUNDDOWN(INDEX('90% of ACR'!K:K,MATCH(H:H,'90% of ACR'!A:A,0))*IF(I363&gt;0,IF(O363&gt;0,$R$4*MAX(O363-V363,0),0),0)/I363,2),0))</f>
        <v>0</v>
      </c>
      <c r="AI363" s="86">
        <f>IF(Y363="No",0,IFERROR(ROUNDDOWN(INDEX('90% of ACR'!R:R,MATCH(H:H,'90% of ACR'!A:A,0))*IF(J363&gt;0,IF(P363&gt;0,$R$4*MAX(P363-W363,0),0),0)/J363,2),0))</f>
        <v>0</v>
      </c>
      <c r="AJ363" s="45">
        <f t="shared" si="140"/>
        <v>0</v>
      </c>
      <c r="AK363" s="45">
        <f t="shared" si="140"/>
        <v>0</v>
      </c>
      <c r="AL363" s="47">
        <f t="shared" si="141"/>
        <v>0</v>
      </c>
      <c r="AM363" s="47">
        <f t="shared" si="141"/>
        <v>0.39</v>
      </c>
      <c r="AN363" s="87">
        <f>IFERROR(INDEX(FeeCalc!P:P,MATCH(C363,FeeCalc!F:F,0)),0)</f>
        <v>235235.36638114642</v>
      </c>
      <c r="AO363" s="87">
        <f>IFERROR(INDEX(FeeCalc!S:S,MATCH(C363,FeeCalc!F:F,0)),0)</f>
        <v>14469.575850258001</v>
      </c>
      <c r="AP363" s="87">
        <f t="shared" si="142"/>
        <v>249704.94223140442</v>
      </c>
      <c r="AQ363" s="72">
        <f t="shared" si="143"/>
        <v>105957.79754693632</v>
      </c>
      <c r="AR363" s="72">
        <f t="shared" si="144"/>
        <v>52978.898773468158</v>
      </c>
      <c r="AS363" s="72">
        <f t="shared" si="145"/>
        <v>52978.898773468158</v>
      </c>
      <c r="AT363" s="72">
        <f>IFERROR(IFERROR(INDEX('2023 IP UPL Data'!L:L,MATCH(A:A,'2023 IP UPL Data'!B:B,0)),INDEX('2023 IMD UPL Data'!I:I,MATCH(A:A,'2023 IMD UPL Data'!B:B,0))),0)</f>
        <v>168940.48917907511</v>
      </c>
      <c r="AU363" s="72">
        <f>IFERROR(IF(F361="IMD",0,INDEX('2023 OP UPL Data'!J:J,MATCH(A:A,'2023 OP UPL Data'!B:B,0))),0)</f>
        <v>164607.3604848485</v>
      </c>
      <c r="AV363" s="45">
        <f t="shared" si="146"/>
        <v>333547.84966392361</v>
      </c>
      <c r="AW363" s="72">
        <f>IFERROR(IFERROR(INDEX('2023 IP UPL Data'!M:M,MATCH(A:A,'2023 IP UPL Data'!B:B,0)),INDEX('2023 IMD UPL Data'!K:K,MATCH(A:A,'2023 IMD UPL Data'!B:B,0))),0)</f>
        <v>203460.62</v>
      </c>
      <c r="AX363" s="72">
        <f>IFERROR(IF(F361="IMD",0,INDEX('2023 OP UPL Data'!L:L,MATCH(A:A,'2023 OP UPL Data'!B:B,0))),0)</f>
        <v>468502.15</v>
      </c>
      <c r="AY363" s="45">
        <f t="shared" si="147"/>
        <v>671962.77</v>
      </c>
      <c r="AZ363" s="72">
        <v>84180.725812840217</v>
      </c>
      <c r="BA363" s="72">
        <v>336795.20877711527</v>
      </c>
      <c r="BB363" s="72">
        <f t="shared" si="148"/>
        <v>84180.725812840217</v>
      </c>
      <c r="BC363" s="72">
        <f t="shared" si="148"/>
        <v>101559.84239596885</v>
      </c>
      <c r="BD363" s="72">
        <f t="shared" si="149"/>
        <v>185740.56820880907</v>
      </c>
      <c r="BE363" s="94">
        <f t="shared" si="150"/>
        <v>0</v>
      </c>
      <c r="BF363" s="94">
        <f t="shared" si="150"/>
        <v>0</v>
      </c>
      <c r="BG363" s="73">
        <f>IFERROR(INDEX('2023 IP UPL Data'!K:K,MATCH(A363,'2023 IP UPL Data'!B:B,0)),0)</f>
        <v>0</v>
      </c>
    </row>
    <row r="364" spans="1:59">
      <c r="A364" s="124" t="s">
        <v>807</v>
      </c>
      <c r="B364" s="149" t="s">
        <v>807</v>
      </c>
      <c r="C364" s="31" t="s">
        <v>808</v>
      </c>
      <c r="D364" s="181" t="s">
        <v>808</v>
      </c>
      <c r="E364" s="144" t="s">
        <v>2982</v>
      </c>
      <c r="F364" s="120" t="s">
        <v>2718</v>
      </c>
      <c r="G364" s="120" t="s">
        <v>310</v>
      </c>
      <c r="H364" s="43" t="str">
        <f t="shared" si="130"/>
        <v>Urban MRSA Northeast</v>
      </c>
      <c r="I364" s="45">
        <f>INDEX(FeeCalc!M:M,MATCH(C:C,FeeCalc!F:F,0))</f>
        <v>7595012.0588090019</v>
      </c>
      <c r="J364" s="45">
        <f>INDEX(FeeCalc!L:L,MATCH(C:C,FeeCalc!F:F,0))</f>
        <v>2837432.5682475795</v>
      </c>
      <c r="K364" s="45">
        <f t="shared" si="131"/>
        <v>10432444.627056582</v>
      </c>
      <c r="L364" s="45">
        <f>IFERROR(IFERROR(INDEX('2023 IP UPL Data'!N:N,MATCH(A:A,'2023 IP UPL Data'!B:B,0)),INDEX('2023 IMD UPL Data'!M:M,MATCH(A:A,'2023 IMD UPL Data'!B:B,0))),0)</f>
        <v>4313428.4795652172</v>
      </c>
      <c r="M364" s="45">
        <f>IFERROR((IF(F364="IMD",0,INDEX('2023 OP UPL Data'!M:M,MATCH(A:A,'2023 OP UPL Data'!B:B,0)))),0)</f>
        <v>4066549.8752173912</v>
      </c>
      <c r="N364" s="45">
        <f t="shared" si="132"/>
        <v>8379978.3547826083</v>
      </c>
      <c r="O364" s="45">
        <v>12219476.475449774</v>
      </c>
      <c r="P364" s="45">
        <v>5546463.2962826053</v>
      </c>
      <c r="Q364" s="45">
        <f t="shared" si="133"/>
        <v>17765939.771732379</v>
      </c>
      <c r="R364" s="45" t="str">
        <f t="shared" si="134"/>
        <v>Yes</v>
      </c>
      <c r="S364" s="46" t="str">
        <f t="shared" si="134"/>
        <v>Yes</v>
      </c>
      <c r="T364" s="47">
        <f>ROUND(INDEX(Summary!H:H,MATCH(H:H,Summary!A:A,0)),2)</f>
        <v>0.79</v>
      </c>
      <c r="U364" s="47">
        <f>ROUND(INDEX(Summary!I:I,MATCH(H:H,Summary!A:A,0)),2)</f>
        <v>1.2</v>
      </c>
      <c r="V364" s="85">
        <f t="shared" si="135"/>
        <v>6000059.5264591118</v>
      </c>
      <c r="W364" s="85">
        <f t="shared" si="135"/>
        <v>3404919.0818970953</v>
      </c>
      <c r="X364" s="45">
        <f t="shared" si="136"/>
        <v>9404978.6083562076</v>
      </c>
      <c r="Y364" s="45" t="s">
        <v>3223</v>
      </c>
      <c r="Z364" s="45" t="str">
        <f t="shared" si="137"/>
        <v>Yes</v>
      </c>
      <c r="AA364" s="45" t="str">
        <f t="shared" si="137"/>
        <v>Yes</v>
      </c>
      <c r="AB364" s="45" t="str">
        <f t="shared" si="138"/>
        <v>Yes</v>
      </c>
      <c r="AC364" s="86">
        <f t="shared" si="151"/>
        <v>0.56999999999999995</v>
      </c>
      <c r="AD364" s="86">
        <f t="shared" si="152"/>
        <v>0.53</v>
      </c>
      <c r="AE364" s="45">
        <f t="shared" si="153"/>
        <v>4329156.8735211305</v>
      </c>
      <c r="AF364" s="45">
        <f t="shared" si="153"/>
        <v>1503839.2611712173</v>
      </c>
      <c r="AG364" s="45">
        <f t="shared" si="139"/>
        <v>5832996.1346923476</v>
      </c>
      <c r="AH364" s="47">
        <f>IF(Y364="No",0,IFERROR(ROUNDDOWN(INDEX('90% of ACR'!K:K,MATCH(H:H,'90% of ACR'!A:A,0))*IF(I364&gt;0,IF(O364&gt;0,$R$4*MAX(O364-V364,0),0),0)/I364,2),0))</f>
        <v>0.56999999999999995</v>
      </c>
      <c r="AI364" s="86">
        <f>IF(Y364="No",0,IFERROR(ROUNDDOWN(INDEX('90% of ACR'!R:R,MATCH(H:H,'90% of ACR'!A:A,0))*IF(J364&gt;0,IF(P364&gt;0,$R$4*MAX(P364-W364,0),0),0)/J364,2),0))</f>
        <v>0.52</v>
      </c>
      <c r="AJ364" s="45">
        <f t="shared" si="140"/>
        <v>4329156.8735211305</v>
      </c>
      <c r="AK364" s="45">
        <f t="shared" si="140"/>
        <v>1475464.9354887414</v>
      </c>
      <c r="AL364" s="47">
        <f t="shared" si="141"/>
        <v>1.3599999999999999</v>
      </c>
      <c r="AM364" s="47">
        <f t="shared" si="141"/>
        <v>1.72</v>
      </c>
      <c r="AN364" s="87">
        <f>IFERROR(INDEX(FeeCalc!P:P,MATCH(C364,FeeCalc!F:F,0)),0)</f>
        <v>15209600.417366078</v>
      </c>
      <c r="AO364" s="87">
        <f>IFERROR(INDEX(FeeCalc!S:S,MATCH(C364,FeeCalc!F:F,0)),0)</f>
        <v>940163.41251423745</v>
      </c>
      <c r="AP364" s="87">
        <f t="shared" si="142"/>
        <v>16149763.829880316</v>
      </c>
      <c r="AQ364" s="72">
        <f t="shared" si="143"/>
        <v>6852861.5854607755</v>
      </c>
      <c r="AR364" s="72">
        <f t="shared" si="144"/>
        <v>3426430.7927303878</v>
      </c>
      <c r="AS364" s="72">
        <f t="shared" si="145"/>
        <v>3426430.7927303878</v>
      </c>
      <c r="AT364" s="72">
        <f>IFERROR(IFERROR(INDEX('2023 IP UPL Data'!L:L,MATCH(A:A,'2023 IP UPL Data'!B:B,0)),INDEX('2023 IMD UPL Data'!I:I,MATCH(A:A,'2023 IMD UPL Data'!B:B,0))),0)</f>
        <v>7627804.6304347822</v>
      </c>
      <c r="AU364" s="72">
        <f>IFERROR(IF(F362="IMD",0,INDEX('2023 OP UPL Data'!J:J,MATCH(A:A,'2023 OP UPL Data'!B:B,0))),0)</f>
        <v>962824.43478260865</v>
      </c>
      <c r="AV364" s="45">
        <f t="shared" si="146"/>
        <v>8590629.0652173907</v>
      </c>
      <c r="AW364" s="72">
        <f>IFERROR(IFERROR(INDEX('2023 IP UPL Data'!M:M,MATCH(A:A,'2023 IP UPL Data'!B:B,0)),INDEX('2023 IMD UPL Data'!K:K,MATCH(A:A,'2023 IMD UPL Data'!B:B,0))),0)</f>
        <v>11941233.109999999</v>
      </c>
      <c r="AX364" s="72">
        <f>IFERROR(IF(F362="IMD",0,INDEX('2023 OP UPL Data'!L:L,MATCH(A:A,'2023 OP UPL Data'!B:B,0))),0)</f>
        <v>5029374.3099999996</v>
      </c>
      <c r="AY364" s="45">
        <f t="shared" si="147"/>
        <v>16970607.419999998</v>
      </c>
      <c r="AZ364" s="72">
        <v>19847281.105884556</v>
      </c>
      <c r="BA364" s="72">
        <v>6509287.7310652137</v>
      </c>
      <c r="BB364" s="72">
        <f t="shared" si="148"/>
        <v>13847221.579425443</v>
      </c>
      <c r="BC364" s="72">
        <f t="shared" si="148"/>
        <v>3104368.6491681184</v>
      </c>
      <c r="BD364" s="72">
        <f t="shared" si="149"/>
        <v>16951590.228593562</v>
      </c>
      <c r="BE364" s="94">
        <f t="shared" si="150"/>
        <v>7906047.9958845563</v>
      </c>
      <c r="BF364" s="94">
        <f t="shared" si="150"/>
        <v>1479913.4210652141</v>
      </c>
      <c r="BG364" s="73">
        <f>IFERROR(INDEX('2023 IP UPL Data'!K:K,MATCH(A364,'2023 IP UPL Data'!B:B,0)),0)</f>
        <v>0</v>
      </c>
    </row>
    <row r="365" spans="1:59">
      <c r="A365" s="124" t="s">
        <v>956</v>
      </c>
      <c r="B365" s="149" t="s">
        <v>956</v>
      </c>
      <c r="C365" s="31" t="s">
        <v>957</v>
      </c>
      <c r="D365" s="181" t="s">
        <v>957</v>
      </c>
      <c r="E365" s="144" t="s">
        <v>3581</v>
      </c>
      <c r="F365" s="120" t="s">
        <v>2768</v>
      </c>
      <c r="G365" s="120" t="s">
        <v>227</v>
      </c>
      <c r="H365" s="43" t="str">
        <f t="shared" si="130"/>
        <v>Rural MRSA West</v>
      </c>
      <c r="I365" s="45">
        <f>INDEX(FeeCalc!M:M,MATCH(C:C,FeeCalc!F:F,0))</f>
        <v>2464742.4492919445</v>
      </c>
      <c r="J365" s="45">
        <f>INDEX(FeeCalc!L:L,MATCH(C:C,FeeCalc!F:F,0))</f>
        <v>1659504.2408692166</v>
      </c>
      <c r="K365" s="45">
        <f t="shared" si="131"/>
        <v>4124246.6901611611</v>
      </c>
      <c r="L365" s="45">
        <f>IFERROR(IFERROR(INDEX('2023 IP UPL Data'!N:N,MATCH(A:A,'2023 IP UPL Data'!B:B,0)),INDEX('2023 IMD UPL Data'!M:M,MATCH(A:A,'2023 IMD UPL Data'!B:B,0))),0)</f>
        <v>-6542729.9487728067</v>
      </c>
      <c r="M365" s="45">
        <f>IFERROR((IF(F365="IMD",0,INDEX('2023 OP UPL Data'!M:M,MATCH(A:A,'2023 OP UPL Data'!B:B,0)))),0)</f>
        <v>1159740.273</v>
      </c>
      <c r="N365" s="45">
        <f t="shared" si="132"/>
        <v>-5382989.6757728066</v>
      </c>
      <c r="O365" s="45">
        <v>-7487856.6508617997</v>
      </c>
      <c r="P365" s="45">
        <v>605340.0311329508</v>
      </c>
      <c r="Q365" s="45">
        <f t="shared" si="133"/>
        <v>-6882516.6197288493</v>
      </c>
      <c r="R365" s="45" t="str">
        <f t="shared" si="134"/>
        <v>No</v>
      </c>
      <c r="S365" s="46" t="str">
        <f t="shared" si="134"/>
        <v>Yes</v>
      </c>
      <c r="T365" s="47">
        <f>ROUND(INDEX(Summary!H:H,MATCH(H:H,Summary!A:A,0)),2)</f>
        <v>0</v>
      </c>
      <c r="U365" s="47">
        <f>ROUND(INDEX(Summary!I:I,MATCH(H:H,Summary!A:A,0)),2)</f>
        <v>0.28999999999999998</v>
      </c>
      <c r="V365" s="85">
        <f t="shared" si="135"/>
        <v>0</v>
      </c>
      <c r="W365" s="85">
        <f t="shared" si="135"/>
        <v>481256.22985207278</v>
      </c>
      <c r="X365" s="45">
        <f t="shared" si="136"/>
        <v>481256.22985207278</v>
      </c>
      <c r="Y365" s="45" t="s">
        <v>3223</v>
      </c>
      <c r="Z365" s="45" t="str">
        <f t="shared" si="137"/>
        <v>No</v>
      </c>
      <c r="AA365" s="45" t="str">
        <f t="shared" si="137"/>
        <v>Yes</v>
      </c>
      <c r="AB365" s="45" t="str">
        <f t="shared" si="138"/>
        <v>Yes</v>
      </c>
      <c r="AC365" s="86">
        <f t="shared" si="151"/>
        <v>0</v>
      </c>
      <c r="AD365" s="86">
        <f t="shared" si="152"/>
        <v>0.05</v>
      </c>
      <c r="AE365" s="45">
        <f t="shared" si="153"/>
        <v>0</v>
      </c>
      <c r="AF365" s="45">
        <f t="shared" si="153"/>
        <v>82975.212043460837</v>
      </c>
      <c r="AG365" s="45">
        <f t="shared" si="139"/>
        <v>82975.212043460837</v>
      </c>
      <c r="AH365" s="47">
        <f>IF(Y365="No",0,IFERROR(ROUNDDOWN(INDEX('90% of ACR'!K:K,MATCH(H:H,'90% of ACR'!A:A,0))*IF(I365&gt;0,IF(O365&gt;0,$R$4*MAX(O365-V365,0),0),0)/I365,2),0))</f>
        <v>0</v>
      </c>
      <c r="AI365" s="86">
        <f>IF(Y365="No",0,IFERROR(ROUNDDOWN(INDEX('90% of ACR'!R:R,MATCH(H:H,'90% of ACR'!A:A,0))*IF(J365&gt;0,IF(P365&gt;0,$R$4*MAX(P365-W365,0),0),0)/J365,2),0))</f>
        <v>0.05</v>
      </c>
      <c r="AJ365" s="45">
        <f t="shared" si="140"/>
        <v>0</v>
      </c>
      <c r="AK365" s="45">
        <f t="shared" si="140"/>
        <v>82975.212043460837</v>
      </c>
      <c r="AL365" s="47">
        <f t="shared" si="141"/>
        <v>0</v>
      </c>
      <c r="AM365" s="47">
        <f t="shared" si="141"/>
        <v>0.33999999999999997</v>
      </c>
      <c r="AN365" s="87">
        <f>IFERROR(INDEX(FeeCalc!P:P,MATCH(C365,FeeCalc!F:F,0)),0)</f>
        <v>564231.44189553359</v>
      </c>
      <c r="AO365" s="87">
        <f>IFERROR(INDEX(FeeCalc!S:S,MATCH(C365,FeeCalc!F:F,0)),0)</f>
        <v>34837.770226056302</v>
      </c>
      <c r="AP365" s="87">
        <f t="shared" si="142"/>
        <v>599069.21212158992</v>
      </c>
      <c r="AQ365" s="72">
        <f t="shared" si="143"/>
        <v>254204.23691797853</v>
      </c>
      <c r="AR365" s="72">
        <f t="shared" si="144"/>
        <v>127102.11845898927</v>
      </c>
      <c r="AS365" s="72">
        <f t="shared" si="145"/>
        <v>127102.11845898927</v>
      </c>
      <c r="AT365" s="72">
        <f>IFERROR(IFERROR(INDEX('2023 IP UPL Data'!L:L,MATCH(A:A,'2023 IP UPL Data'!B:B,0)),INDEX('2023 IMD UPL Data'!I:I,MATCH(A:A,'2023 IMD UPL Data'!B:B,0))),0)</f>
        <v>8838071.0887728073</v>
      </c>
      <c r="AU365" s="72">
        <f>IFERROR(IF(F363="IMD",0,INDEX('2023 OP UPL Data'!J:J,MATCH(A:A,'2023 OP UPL Data'!B:B,0))),0)</f>
        <v>472142.12699999998</v>
      </c>
      <c r="AV365" s="45">
        <f t="shared" si="146"/>
        <v>9310213.2157728076</v>
      </c>
      <c r="AW365" s="72">
        <f>IFERROR(IFERROR(INDEX('2023 IP UPL Data'!M:M,MATCH(A:A,'2023 IP UPL Data'!B:B,0)),INDEX('2023 IMD UPL Data'!K:K,MATCH(A:A,'2023 IMD UPL Data'!B:B,0))),0)</f>
        <v>2295341.14</v>
      </c>
      <c r="AX365" s="72">
        <f>IFERROR(IF(F363="IMD",0,INDEX('2023 OP UPL Data'!L:L,MATCH(A:A,'2023 OP UPL Data'!B:B,0))),0)</f>
        <v>1631882.4</v>
      </c>
      <c r="AY365" s="45">
        <f t="shared" si="147"/>
        <v>3927223.54</v>
      </c>
      <c r="AZ365" s="72">
        <v>1350214.4379110073</v>
      </c>
      <c r="BA365" s="72">
        <v>1077482.1581329508</v>
      </c>
      <c r="BB365" s="72">
        <f t="shared" si="148"/>
        <v>1350214.4379110073</v>
      </c>
      <c r="BC365" s="72">
        <f t="shared" si="148"/>
        <v>596225.928280878</v>
      </c>
      <c r="BD365" s="72">
        <f t="shared" si="149"/>
        <v>1946440.3661918854</v>
      </c>
      <c r="BE365" s="94">
        <f t="shared" si="150"/>
        <v>0</v>
      </c>
      <c r="BF365" s="94">
        <f t="shared" si="150"/>
        <v>0</v>
      </c>
      <c r="BG365" s="73">
        <f>IFERROR(INDEX('2023 IP UPL Data'!K:K,MATCH(A365,'2023 IP UPL Data'!B:B,0)),0)</f>
        <v>5998615.9199999999</v>
      </c>
    </row>
    <row r="366" spans="1:59">
      <c r="A366" s="124" t="s">
        <v>1180</v>
      </c>
      <c r="B366" s="149" t="s">
        <v>1180</v>
      </c>
      <c r="C366" s="31" t="s">
        <v>1181</v>
      </c>
      <c r="D366" s="181" t="s">
        <v>1181</v>
      </c>
      <c r="E366" s="144" t="s">
        <v>2871</v>
      </c>
      <c r="F366" s="120" t="s">
        <v>2768</v>
      </c>
      <c r="G366" s="120" t="s">
        <v>310</v>
      </c>
      <c r="H366" s="43" t="str">
        <f t="shared" si="130"/>
        <v>Rural MRSA Northeast</v>
      </c>
      <c r="I366" s="45">
        <f>INDEX(FeeCalc!M:M,MATCH(C:C,FeeCalc!F:F,0))</f>
        <v>7704102.2052440438</v>
      </c>
      <c r="J366" s="45">
        <f>INDEX(FeeCalc!L:L,MATCH(C:C,FeeCalc!F:F,0))</f>
        <v>2154570.217606666</v>
      </c>
      <c r="K366" s="45">
        <f t="shared" si="131"/>
        <v>9858672.4228507094</v>
      </c>
      <c r="L366" s="45">
        <f>IFERROR(IFERROR(INDEX('2023 IP UPL Data'!N:N,MATCH(A:A,'2023 IP UPL Data'!B:B,0)),INDEX('2023 IMD UPL Data'!M:M,MATCH(A:A,'2023 IMD UPL Data'!B:B,0))),0)</f>
        <v>-2482644.4412453659</v>
      </c>
      <c r="M366" s="45">
        <f>IFERROR((IF(F366="IMD",0,INDEX('2023 OP UPL Data'!M:M,MATCH(A:A,'2023 OP UPL Data'!B:B,0)))),0)</f>
        <v>1892466.95245283</v>
      </c>
      <c r="N366" s="45">
        <f t="shared" si="132"/>
        <v>-590177.48879253585</v>
      </c>
      <c r="O366" s="45">
        <v>1284105.9925826639</v>
      </c>
      <c r="P366" s="45">
        <v>3117441.8189307246</v>
      </c>
      <c r="Q366" s="45">
        <f t="shared" si="133"/>
        <v>4401547.8115133885</v>
      </c>
      <c r="R366" s="45" t="str">
        <f t="shared" si="134"/>
        <v>Yes</v>
      </c>
      <c r="S366" s="46" t="str">
        <f t="shared" si="134"/>
        <v>Yes</v>
      </c>
      <c r="T366" s="47">
        <f>ROUND(INDEX(Summary!H:H,MATCH(H:H,Summary!A:A,0)),2)</f>
        <v>0.16</v>
      </c>
      <c r="U366" s="47">
        <f>ROUND(INDEX(Summary!I:I,MATCH(H:H,Summary!A:A,0)),2)</f>
        <v>0.42</v>
      </c>
      <c r="V366" s="85">
        <f t="shared" si="135"/>
        <v>1232656.3528390471</v>
      </c>
      <c r="W366" s="85">
        <f t="shared" si="135"/>
        <v>904919.49139479967</v>
      </c>
      <c r="X366" s="45">
        <f t="shared" si="136"/>
        <v>2137575.8442338468</v>
      </c>
      <c r="Y366" s="45" t="s">
        <v>3223</v>
      </c>
      <c r="Z366" s="45" t="str">
        <f t="shared" si="137"/>
        <v>No</v>
      </c>
      <c r="AA366" s="45" t="str">
        <f t="shared" si="137"/>
        <v>Yes</v>
      </c>
      <c r="AB366" s="45" t="str">
        <f t="shared" si="138"/>
        <v>Yes</v>
      </c>
      <c r="AC366" s="86">
        <f t="shared" si="151"/>
        <v>0</v>
      </c>
      <c r="AD366" s="86">
        <f t="shared" si="152"/>
        <v>0.72</v>
      </c>
      <c r="AE366" s="45">
        <f t="shared" si="153"/>
        <v>0</v>
      </c>
      <c r="AF366" s="45">
        <f t="shared" si="153"/>
        <v>1551290.5566767994</v>
      </c>
      <c r="AG366" s="45">
        <f t="shared" si="139"/>
        <v>1551290.5566767994</v>
      </c>
      <c r="AH366" s="47">
        <f>IF(Y366="No",0,IFERROR(ROUNDDOWN(INDEX('90% of ACR'!K:K,MATCH(H:H,'90% of ACR'!A:A,0))*IF(I366&gt;0,IF(O366&gt;0,$R$4*MAX(O366-V366,0),0),0)/I366,2),0))</f>
        <v>0</v>
      </c>
      <c r="AI366" s="86">
        <f>IF(Y366="No",0,IFERROR(ROUNDDOWN(INDEX('90% of ACR'!R:R,MATCH(H:H,'90% of ACR'!A:A,0))*IF(J366&gt;0,IF(P366&gt;0,$R$4*MAX(P366-W366,0),0),0)/J366,2),0))</f>
        <v>0.71</v>
      </c>
      <c r="AJ366" s="45">
        <f t="shared" si="140"/>
        <v>0</v>
      </c>
      <c r="AK366" s="45">
        <f t="shared" si="140"/>
        <v>1529744.8545007329</v>
      </c>
      <c r="AL366" s="47">
        <f t="shared" si="141"/>
        <v>0.16</v>
      </c>
      <c r="AM366" s="47">
        <f t="shared" si="141"/>
        <v>1.1299999999999999</v>
      </c>
      <c r="AN366" s="87">
        <f>IFERROR(INDEX(FeeCalc!P:P,MATCH(C366,FeeCalc!F:F,0)),0)</f>
        <v>3667320.6987345796</v>
      </c>
      <c r="AO366" s="87">
        <f>IFERROR(INDEX(FeeCalc!S:S,MATCH(C366,FeeCalc!F:F,0)),0)</f>
        <v>226077.15361112732</v>
      </c>
      <c r="AP366" s="87">
        <f t="shared" si="142"/>
        <v>3893397.8523457069</v>
      </c>
      <c r="AQ366" s="72">
        <f t="shared" si="143"/>
        <v>1652093.2974815585</v>
      </c>
      <c r="AR366" s="72">
        <f t="shared" si="144"/>
        <v>826046.64874077926</v>
      </c>
      <c r="AS366" s="72">
        <f t="shared" si="145"/>
        <v>826046.64874077926</v>
      </c>
      <c r="AT366" s="72">
        <f>IFERROR(IFERROR(INDEX('2023 IP UPL Data'!L:L,MATCH(A:A,'2023 IP UPL Data'!B:B,0)),INDEX('2023 IMD UPL Data'!I:I,MATCH(A:A,'2023 IMD UPL Data'!B:B,0))),0)</f>
        <v>8147363.5912453663</v>
      </c>
      <c r="AU366" s="72">
        <f>IFERROR(IF(F364="IMD",0,INDEX('2023 OP UPL Data'!J:J,MATCH(A:A,'2023 OP UPL Data'!B:B,0))),0)</f>
        <v>686505.48754716979</v>
      </c>
      <c r="AV366" s="45">
        <f t="shared" si="146"/>
        <v>8833869.0787925366</v>
      </c>
      <c r="AW366" s="72">
        <f>IFERROR(IFERROR(INDEX('2023 IP UPL Data'!M:M,MATCH(A:A,'2023 IP UPL Data'!B:B,0)),INDEX('2023 IMD UPL Data'!K:K,MATCH(A:A,'2023 IMD UPL Data'!B:B,0))),0)</f>
        <v>5664719.1500000004</v>
      </c>
      <c r="AX366" s="72">
        <f>IFERROR(IF(F364="IMD",0,INDEX('2023 OP UPL Data'!L:L,MATCH(A:A,'2023 OP UPL Data'!B:B,0))),0)</f>
        <v>2578972.44</v>
      </c>
      <c r="AY366" s="45">
        <f t="shared" si="147"/>
        <v>8243691.5899999999</v>
      </c>
      <c r="AZ366" s="72">
        <v>9431469.5838280302</v>
      </c>
      <c r="BA366" s="72">
        <v>3803947.3064778945</v>
      </c>
      <c r="BB366" s="72">
        <f t="shared" si="148"/>
        <v>8198813.2309889831</v>
      </c>
      <c r="BC366" s="72">
        <f t="shared" si="148"/>
        <v>2899027.8150830949</v>
      </c>
      <c r="BD366" s="72">
        <f t="shared" si="149"/>
        <v>11097841.046072079</v>
      </c>
      <c r="BE366" s="94">
        <f t="shared" si="150"/>
        <v>3766750.4338280298</v>
      </c>
      <c r="BF366" s="94">
        <f t="shared" si="150"/>
        <v>1224974.8664778946</v>
      </c>
      <c r="BG366" s="73">
        <f>IFERROR(INDEX('2023 IP UPL Data'!K:K,MATCH(A366,'2023 IP UPL Data'!B:B,0)),0)</f>
        <v>0</v>
      </c>
    </row>
    <row r="367" spans="1:59">
      <c r="A367" s="124" t="s">
        <v>911</v>
      </c>
      <c r="B367" s="149" t="s">
        <v>911</v>
      </c>
      <c r="C367" s="31" t="s">
        <v>912</v>
      </c>
      <c r="D367" s="181" t="s">
        <v>912</v>
      </c>
      <c r="E367" s="144" t="s">
        <v>2983</v>
      </c>
      <c r="F367" s="120" t="s">
        <v>2768</v>
      </c>
      <c r="G367" s="120" t="s">
        <v>223</v>
      </c>
      <c r="H367" s="43" t="str">
        <f t="shared" si="130"/>
        <v>Rural Dallas</v>
      </c>
      <c r="I367" s="45">
        <f>INDEX(FeeCalc!M:M,MATCH(C:C,FeeCalc!F:F,0))</f>
        <v>4038345.1915210579</v>
      </c>
      <c r="J367" s="45">
        <f>INDEX(FeeCalc!L:L,MATCH(C:C,FeeCalc!F:F,0))</f>
        <v>1656784.0025183538</v>
      </c>
      <c r="K367" s="45">
        <f t="shared" si="131"/>
        <v>5695129.1940394118</v>
      </c>
      <c r="L367" s="45">
        <f>IFERROR(IFERROR(INDEX('2023 IP UPL Data'!N:N,MATCH(A:A,'2023 IP UPL Data'!B:B,0)),INDEX('2023 IMD UPL Data'!M:M,MATCH(A:A,'2023 IMD UPL Data'!B:B,0))),0)</f>
        <v>-942395.83200023696</v>
      </c>
      <c r="M367" s="45">
        <f>IFERROR((IF(F367="IMD",0,INDEX('2023 OP UPL Data'!M:M,MATCH(A:A,'2023 OP UPL Data'!B:B,0)))),0)</f>
        <v>1688342.6230674847</v>
      </c>
      <c r="N367" s="45">
        <f t="shared" si="132"/>
        <v>745946.79106724774</v>
      </c>
      <c r="O367" s="45">
        <v>5703287.0940703545</v>
      </c>
      <c r="P367" s="45">
        <v>3956487.1010359772</v>
      </c>
      <c r="Q367" s="45">
        <f t="shared" si="133"/>
        <v>9659774.1951063313</v>
      </c>
      <c r="R367" s="45" t="str">
        <f t="shared" si="134"/>
        <v>Yes</v>
      </c>
      <c r="S367" s="46" t="str">
        <f t="shared" si="134"/>
        <v>Yes</v>
      </c>
      <c r="T367" s="47">
        <f>ROUND(INDEX(Summary!H:H,MATCH(H:H,Summary!A:A,0)),2)</f>
        <v>0</v>
      </c>
      <c r="U367" s="47">
        <f>ROUND(INDEX(Summary!I:I,MATCH(H:H,Summary!A:A,0)),2)</f>
        <v>1.02</v>
      </c>
      <c r="V367" s="85">
        <f t="shared" si="135"/>
        <v>0</v>
      </c>
      <c r="W367" s="85">
        <f t="shared" si="135"/>
        <v>1689919.6825687208</v>
      </c>
      <c r="X367" s="45">
        <f t="shared" si="136"/>
        <v>1689919.6825687208</v>
      </c>
      <c r="Y367" s="45" t="s">
        <v>3223</v>
      </c>
      <c r="Z367" s="45" t="str">
        <f t="shared" si="137"/>
        <v>Yes</v>
      </c>
      <c r="AA367" s="45" t="str">
        <f t="shared" si="137"/>
        <v>Yes</v>
      </c>
      <c r="AB367" s="45" t="str">
        <f t="shared" si="138"/>
        <v>Yes</v>
      </c>
      <c r="AC367" s="86">
        <f t="shared" si="151"/>
        <v>0.98</v>
      </c>
      <c r="AD367" s="86">
        <f t="shared" si="152"/>
        <v>0.95</v>
      </c>
      <c r="AE367" s="45">
        <f t="shared" si="153"/>
        <v>3957578.2876906367</v>
      </c>
      <c r="AF367" s="45">
        <f t="shared" si="153"/>
        <v>1573944.802392436</v>
      </c>
      <c r="AG367" s="45">
        <f t="shared" si="139"/>
        <v>5531523.0900830729</v>
      </c>
      <c r="AH367" s="47">
        <f>IF(Y367="No",0,IFERROR(ROUNDDOWN(INDEX('90% of ACR'!K:K,MATCH(H:H,'90% of ACR'!A:A,0))*IF(I367&gt;0,IF(O367&gt;0,$R$4*MAX(O367-V367,0),0),0)/I367,2),0))</f>
        <v>0.98</v>
      </c>
      <c r="AI367" s="86">
        <f>IF(Y367="No",0,IFERROR(ROUNDDOWN(INDEX('90% of ACR'!R:R,MATCH(H:H,'90% of ACR'!A:A,0))*IF(J367&gt;0,IF(P367&gt;0,$R$4*MAX(P367-W367,0),0),0)/J367,2),0))</f>
        <v>0.95</v>
      </c>
      <c r="AJ367" s="45">
        <f t="shared" si="140"/>
        <v>3957578.2876906367</v>
      </c>
      <c r="AK367" s="45">
        <f t="shared" si="140"/>
        <v>1573944.802392436</v>
      </c>
      <c r="AL367" s="47">
        <f t="shared" si="141"/>
        <v>0.98</v>
      </c>
      <c r="AM367" s="47">
        <f t="shared" si="141"/>
        <v>1.97</v>
      </c>
      <c r="AN367" s="87">
        <f>IFERROR(INDEX(FeeCalc!P:P,MATCH(C367,FeeCalc!F:F,0)),0)</f>
        <v>7221442.7726517934</v>
      </c>
      <c r="AO367" s="87">
        <f>IFERROR(INDEX(FeeCalc!S:S,MATCH(C367,FeeCalc!F:F,0)),0)</f>
        <v>448048.59792537079</v>
      </c>
      <c r="AP367" s="87">
        <f t="shared" si="142"/>
        <v>7669491.370577164</v>
      </c>
      <c r="AQ367" s="72">
        <f t="shared" si="143"/>
        <v>3254410.6122597498</v>
      </c>
      <c r="AR367" s="72">
        <f t="shared" si="144"/>
        <v>1627205.3061298749</v>
      </c>
      <c r="AS367" s="72">
        <f t="shared" si="145"/>
        <v>1627205.3061298749</v>
      </c>
      <c r="AT367" s="72">
        <f>IFERROR(IFERROR(INDEX('2023 IP UPL Data'!L:L,MATCH(A:A,'2023 IP UPL Data'!B:B,0)),INDEX('2023 IMD UPL Data'!I:I,MATCH(A:A,'2023 IMD UPL Data'!B:B,0))),0)</f>
        <v>3957441.2720002369</v>
      </c>
      <c r="AU367" s="72">
        <f>IFERROR(IF(F365="IMD",0,INDEX('2023 OP UPL Data'!J:J,MATCH(A:A,'2023 OP UPL Data'!B:B,0))),0)</f>
        <v>609423.45693251537</v>
      </c>
      <c r="AV367" s="45">
        <f t="shared" si="146"/>
        <v>4566864.7289327523</v>
      </c>
      <c r="AW367" s="72">
        <f>IFERROR(IFERROR(INDEX('2023 IP UPL Data'!M:M,MATCH(A:A,'2023 IP UPL Data'!B:B,0)),INDEX('2023 IMD UPL Data'!K:K,MATCH(A:A,'2023 IMD UPL Data'!B:B,0))),0)</f>
        <v>3015045.44</v>
      </c>
      <c r="AX367" s="72">
        <f>IFERROR(IF(F365="IMD",0,INDEX('2023 OP UPL Data'!L:L,MATCH(A:A,'2023 OP UPL Data'!B:B,0))),0)</f>
        <v>2297766.08</v>
      </c>
      <c r="AY367" s="45">
        <f t="shared" si="147"/>
        <v>5312811.5199999996</v>
      </c>
      <c r="AZ367" s="72">
        <v>9660728.3660705909</v>
      </c>
      <c r="BA367" s="72">
        <v>4565910.5579684926</v>
      </c>
      <c r="BB367" s="72">
        <f t="shared" si="148"/>
        <v>9660728.3660705909</v>
      </c>
      <c r="BC367" s="72">
        <f t="shared" si="148"/>
        <v>2875990.8753997721</v>
      </c>
      <c r="BD367" s="72">
        <f t="shared" si="149"/>
        <v>12536719.241470363</v>
      </c>
      <c r="BE367" s="94">
        <f t="shared" si="150"/>
        <v>6645682.9260705914</v>
      </c>
      <c r="BF367" s="94">
        <f t="shared" si="150"/>
        <v>2268144.4779684925</v>
      </c>
      <c r="BG367" s="73">
        <f>IFERROR(INDEX('2023 IP UPL Data'!K:K,MATCH(A367,'2023 IP UPL Data'!B:B,0)),0)</f>
        <v>0</v>
      </c>
    </row>
    <row r="368" spans="1:59">
      <c r="A368" s="124" t="s">
        <v>786</v>
      </c>
      <c r="B368" s="149" t="s">
        <v>786</v>
      </c>
      <c r="C368" s="31" t="s">
        <v>787</v>
      </c>
      <c r="D368" s="181" t="s">
        <v>787</v>
      </c>
      <c r="E368" s="144" t="s">
        <v>3582</v>
      </c>
      <c r="F368" s="120" t="s">
        <v>2768</v>
      </c>
      <c r="G368" s="120" t="s">
        <v>1530</v>
      </c>
      <c r="H368" s="43" t="str">
        <f t="shared" si="130"/>
        <v>Rural Lubbock</v>
      </c>
      <c r="I368" s="45">
        <f>INDEX(FeeCalc!M:M,MATCH(C:C,FeeCalc!F:F,0))</f>
        <v>83341.879203568285</v>
      </c>
      <c r="J368" s="45">
        <f>INDEX(FeeCalc!L:L,MATCH(C:C,FeeCalc!F:F,0))</f>
        <v>520966.6160883226</v>
      </c>
      <c r="K368" s="45">
        <f t="shared" si="131"/>
        <v>604308.49529189093</v>
      </c>
      <c r="L368" s="45">
        <f>IFERROR(IFERROR(INDEX('2023 IP UPL Data'!N:N,MATCH(A:A,'2023 IP UPL Data'!B:B,0)),INDEX('2023 IMD UPL Data'!M:M,MATCH(A:A,'2023 IMD UPL Data'!B:B,0))),0)</f>
        <v>702851.91396664362</v>
      </c>
      <c r="M368" s="45">
        <f>IFERROR((IF(F368="IMD",0,INDEX('2023 OP UPL Data'!M:M,MATCH(A:A,'2023 OP UPL Data'!B:B,0)))),0)</f>
        <v>198207.77558659221</v>
      </c>
      <c r="N368" s="45">
        <f t="shared" si="132"/>
        <v>901059.68955323589</v>
      </c>
      <c r="O368" s="45">
        <v>397158.15172270226</v>
      </c>
      <c r="P368" s="45">
        <v>450617.60543865105</v>
      </c>
      <c r="Q368" s="45">
        <f t="shared" si="133"/>
        <v>847775.75716135325</v>
      </c>
      <c r="R368" s="45" t="str">
        <f t="shared" si="134"/>
        <v>Yes</v>
      </c>
      <c r="S368" s="46" t="str">
        <f t="shared" si="134"/>
        <v>Yes</v>
      </c>
      <c r="T368" s="47">
        <f>ROUND(INDEX(Summary!H:H,MATCH(H:H,Summary!A:A,0)),2)</f>
        <v>0.32</v>
      </c>
      <c r="U368" s="47">
        <f>ROUND(INDEX(Summary!I:I,MATCH(H:H,Summary!A:A,0)),2)</f>
        <v>0.36</v>
      </c>
      <c r="V368" s="85">
        <f t="shared" si="135"/>
        <v>26669.40134514185</v>
      </c>
      <c r="W368" s="85">
        <f t="shared" si="135"/>
        <v>187547.98179179613</v>
      </c>
      <c r="X368" s="45">
        <f t="shared" si="136"/>
        <v>214217.38313693798</v>
      </c>
      <c r="Y368" s="45" t="s">
        <v>3223</v>
      </c>
      <c r="Z368" s="45" t="str">
        <f t="shared" si="137"/>
        <v>No</v>
      </c>
      <c r="AA368" s="45" t="str">
        <f t="shared" si="137"/>
        <v>Yes</v>
      </c>
      <c r="AB368" s="45" t="str">
        <f t="shared" si="138"/>
        <v>Yes</v>
      </c>
      <c r="AC368" s="86">
        <f t="shared" si="151"/>
        <v>3.1</v>
      </c>
      <c r="AD368" s="86">
        <f t="shared" si="152"/>
        <v>0.35</v>
      </c>
      <c r="AE368" s="45">
        <f t="shared" si="153"/>
        <v>258359.82553106168</v>
      </c>
      <c r="AF368" s="45">
        <f t="shared" si="153"/>
        <v>182338.3156309129</v>
      </c>
      <c r="AG368" s="45">
        <f t="shared" si="139"/>
        <v>440698.14116197458</v>
      </c>
      <c r="AH368" s="47">
        <f>IF(Y368="No",0,IFERROR(ROUNDDOWN(INDEX('90% of ACR'!K:K,MATCH(H:H,'90% of ACR'!A:A,0))*IF(I368&gt;0,IF(O368&gt;0,$R$4*MAX(O368-V368,0),0),0)/I368,2),0))</f>
        <v>0</v>
      </c>
      <c r="AI368" s="86">
        <f>IF(Y368="No",0,IFERROR(ROUNDDOWN(INDEX('90% of ACR'!R:R,MATCH(H:H,'90% of ACR'!A:A,0))*IF(J368&gt;0,IF(P368&gt;0,$R$4*MAX(P368-W368,0),0),0)/J368,2),0))</f>
        <v>0.12</v>
      </c>
      <c r="AJ368" s="45">
        <f t="shared" si="140"/>
        <v>0</v>
      </c>
      <c r="AK368" s="45">
        <f t="shared" si="140"/>
        <v>62515.993930598706</v>
      </c>
      <c r="AL368" s="47">
        <f t="shared" si="141"/>
        <v>0.32</v>
      </c>
      <c r="AM368" s="47">
        <f t="shared" si="141"/>
        <v>0.48</v>
      </c>
      <c r="AN368" s="87">
        <f>IFERROR(INDEX(FeeCalc!P:P,MATCH(C368,FeeCalc!F:F,0)),0)</f>
        <v>276733.3770675367</v>
      </c>
      <c r="AO368" s="87">
        <f>IFERROR(INDEX(FeeCalc!S:S,MATCH(C368,FeeCalc!F:F,0)),0)</f>
        <v>16930.818821570934</v>
      </c>
      <c r="AP368" s="87">
        <f t="shared" si="142"/>
        <v>293664.19588910765</v>
      </c>
      <c r="AQ368" s="72">
        <f t="shared" si="143"/>
        <v>124611.11557001685</v>
      </c>
      <c r="AR368" s="72">
        <f t="shared" si="144"/>
        <v>62305.557785008423</v>
      </c>
      <c r="AS368" s="72">
        <f t="shared" si="145"/>
        <v>62305.557785008423</v>
      </c>
      <c r="AT368" s="72">
        <f>IFERROR(IFERROR(INDEX('2023 IP UPL Data'!L:L,MATCH(A:A,'2023 IP UPL Data'!B:B,0)),INDEX('2023 IMD UPL Data'!I:I,MATCH(A:A,'2023 IMD UPL Data'!B:B,0))),0)</f>
        <v>226366.47603335633</v>
      </c>
      <c r="AU368" s="72">
        <f>IFERROR(IF(F366="IMD",0,INDEX('2023 OP UPL Data'!J:J,MATCH(A:A,'2023 OP UPL Data'!B:B,0))),0)</f>
        <v>228195.39441340778</v>
      </c>
      <c r="AV368" s="45">
        <f t="shared" si="146"/>
        <v>454561.87044676411</v>
      </c>
      <c r="AW368" s="72">
        <f>IFERROR(IFERROR(INDEX('2023 IP UPL Data'!M:M,MATCH(A:A,'2023 IP UPL Data'!B:B,0)),INDEX('2023 IMD UPL Data'!K:K,MATCH(A:A,'2023 IMD UPL Data'!B:B,0))),0)</f>
        <v>929218.39</v>
      </c>
      <c r="AX368" s="72">
        <f>IFERROR(IF(F366="IMD",0,INDEX('2023 OP UPL Data'!L:L,MATCH(A:A,'2023 OP UPL Data'!B:B,0))),0)</f>
        <v>426403.17</v>
      </c>
      <c r="AY368" s="45">
        <f t="shared" si="147"/>
        <v>1355621.56</v>
      </c>
      <c r="AZ368" s="72">
        <v>623524.62775605859</v>
      </c>
      <c r="BA368" s="72">
        <v>678812.99985205883</v>
      </c>
      <c r="BB368" s="72">
        <f t="shared" si="148"/>
        <v>596855.22641091677</v>
      </c>
      <c r="BC368" s="72">
        <f t="shared" si="148"/>
        <v>491265.01806026266</v>
      </c>
      <c r="BD368" s="72">
        <f t="shared" si="149"/>
        <v>1088120.2444711793</v>
      </c>
      <c r="BE368" s="94">
        <f t="shared" si="150"/>
        <v>0</v>
      </c>
      <c r="BF368" s="94">
        <f t="shared" si="150"/>
        <v>252409.82985205884</v>
      </c>
      <c r="BG368" s="73">
        <f>IFERROR(INDEX('2023 IP UPL Data'!K:K,MATCH(A368,'2023 IP UPL Data'!B:B,0)),0)</f>
        <v>0</v>
      </c>
    </row>
    <row r="369" spans="1:59">
      <c r="A369" s="124" t="s">
        <v>152</v>
      </c>
      <c r="B369" s="149" t="s">
        <v>152</v>
      </c>
      <c r="C369" s="31" t="s">
        <v>153</v>
      </c>
      <c r="D369" s="181" t="s">
        <v>153</v>
      </c>
      <c r="E369" s="144" t="s">
        <v>3583</v>
      </c>
      <c r="F369" s="120" t="s">
        <v>2768</v>
      </c>
      <c r="G369" s="120" t="s">
        <v>310</v>
      </c>
      <c r="H369" s="43" t="str">
        <f t="shared" si="130"/>
        <v>Rural MRSA Northeast</v>
      </c>
      <c r="I369" s="45">
        <f>INDEX(FeeCalc!M:M,MATCH(C:C,FeeCalc!F:F,0))</f>
        <v>1557733.7230036545</v>
      </c>
      <c r="J369" s="45">
        <f>INDEX(FeeCalc!L:L,MATCH(C:C,FeeCalc!F:F,0))</f>
        <v>1146971.4787807665</v>
      </c>
      <c r="K369" s="45">
        <f t="shared" si="131"/>
        <v>2704705.2017844208</v>
      </c>
      <c r="L369" s="45">
        <f>IFERROR(IFERROR(INDEX('2023 IP UPL Data'!N:N,MATCH(A:A,'2023 IP UPL Data'!B:B,0)),INDEX('2023 IMD UPL Data'!M:M,MATCH(A:A,'2023 IMD UPL Data'!B:B,0))),0)</f>
        <v>-153938.38765100238</v>
      </c>
      <c r="M369" s="45">
        <f>IFERROR((IF(F369="IMD",0,INDEX('2023 OP UPL Data'!M:M,MATCH(A:A,'2023 OP UPL Data'!B:B,0)))),0)</f>
        <v>967981.02</v>
      </c>
      <c r="N369" s="45">
        <f t="shared" si="132"/>
        <v>814042.63234899763</v>
      </c>
      <c r="O369" s="45">
        <v>-221772.40032560134</v>
      </c>
      <c r="P369" s="45">
        <v>821484.53552545584</v>
      </c>
      <c r="Q369" s="45">
        <f t="shared" si="133"/>
        <v>599712.1351998545</v>
      </c>
      <c r="R369" s="45" t="str">
        <f t="shared" si="134"/>
        <v>No</v>
      </c>
      <c r="S369" s="46" t="str">
        <f t="shared" si="134"/>
        <v>Yes</v>
      </c>
      <c r="T369" s="47">
        <f>ROUND(INDEX(Summary!H:H,MATCH(H:H,Summary!A:A,0)),2)</f>
        <v>0.16</v>
      </c>
      <c r="U369" s="47">
        <f>ROUND(INDEX(Summary!I:I,MATCH(H:H,Summary!A:A,0)),2)</f>
        <v>0.42</v>
      </c>
      <c r="V369" s="85">
        <f t="shared" si="135"/>
        <v>249237.39568058471</v>
      </c>
      <c r="W369" s="85">
        <f t="shared" si="135"/>
        <v>481728.02108792192</v>
      </c>
      <c r="X369" s="45">
        <f t="shared" si="136"/>
        <v>730965.41676850663</v>
      </c>
      <c r="Y369" s="45" t="s">
        <v>3223</v>
      </c>
      <c r="Z369" s="45" t="str">
        <f t="shared" si="137"/>
        <v>No</v>
      </c>
      <c r="AA369" s="45" t="str">
        <f t="shared" si="137"/>
        <v>Yes</v>
      </c>
      <c r="AB369" s="45" t="str">
        <f t="shared" si="138"/>
        <v>Yes</v>
      </c>
      <c r="AC369" s="86">
        <f t="shared" si="151"/>
        <v>0</v>
      </c>
      <c r="AD369" s="86">
        <f t="shared" si="152"/>
        <v>0.21</v>
      </c>
      <c r="AE369" s="45">
        <f t="shared" si="153"/>
        <v>0</v>
      </c>
      <c r="AF369" s="45">
        <f t="shared" si="153"/>
        <v>240864.01054396096</v>
      </c>
      <c r="AG369" s="45">
        <f t="shared" si="139"/>
        <v>240864.01054396096</v>
      </c>
      <c r="AH369" s="47">
        <f>IF(Y369="No",0,IFERROR(ROUNDDOWN(INDEX('90% of ACR'!K:K,MATCH(H:H,'90% of ACR'!A:A,0))*IF(I369&gt;0,IF(O369&gt;0,$R$4*MAX(O369-V369,0),0),0)/I369,2),0))</f>
        <v>0</v>
      </c>
      <c r="AI369" s="86">
        <f>IF(Y369="No",0,IFERROR(ROUNDDOWN(INDEX('90% of ACR'!R:R,MATCH(H:H,'90% of ACR'!A:A,0))*IF(J369&gt;0,IF(P369&gt;0,$R$4*MAX(P369-W369,0),0),0)/J369,2),0))</f>
        <v>0.2</v>
      </c>
      <c r="AJ369" s="45">
        <f t="shared" si="140"/>
        <v>0</v>
      </c>
      <c r="AK369" s="45">
        <f t="shared" si="140"/>
        <v>229394.2957561533</v>
      </c>
      <c r="AL369" s="47">
        <f t="shared" si="141"/>
        <v>0.16</v>
      </c>
      <c r="AM369" s="47">
        <f t="shared" si="141"/>
        <v>0.62</v>
      </c>
      <c r="AN369" s="87">
        <f>IFERROR(INDEX(FeeCalc!P:P,MATCH(C369,FeeCalc!F:F,0)),0)</f>
        <v>960359.71252465993</v>
      </c>
      <c r="AO369" s="87">
        <f>IFERROR(INDEX(FeeCalc!S:S,MATCH(C369,FeeCalc!F:F,0)),0)</f>
        <v>59033.451366620582</v>
      </c>
      <c r="AP369" s="87">
        <f t="shared" si="142"/>
        <v>1019393.1638912805</v>
      </c>
      <c r="AQ369" s="72">
        <f t="shared" si="143"/>
        <v>432561.1400203149</v>
      </c>
      <c r="AR369" s="72">
        <f t="shared" si="144"/>
        <v>216280.57001015745</v>
      </c>
      <c r="AS369" s="72">
        <f t="shared" si="145"/>
        <v>216280.57001015745</v>
      </c>
      <c r="AT369" s="72">
        <f>IFERROR(IFERROR(INDEX('2023 IP UPL Data'!L:L,MATCH(A:A,'2023 IP UPL Data'!B:B,0)),INDEX('2023 IMD UPL Data'!I:I,MATCH(A:A,'2023 IMD UPL Data'!B:B,0))),0)</f>
        <v>938057.73765100236</v>
      </c>
      <c r="AU369" s="72">
        <f>IFERROR(IF(F367="IMD",0,INDEX('2023 OP UPL Data'!J:J,MATCH(A:A,'2023 OP UPL Data'!B:B,0))),0)</f>
        <v>443628.08</v>
      </c>
      <c r="AV369" s="45">
        <f t="shared" si="146"/>
        <v>1381685.8176510024</v>
      </c>
      <c r="AW369" s="72">
        <f>IFERROR(IFERROR(INDEX('2023 IP UPL Data'!M:M,MATCH(A:A,'2023 IP UPL Data'!B:B,0)),INDEX('2023 IMD UPL Data'!K:K,MATCH(A:A,'2023 IMD UPL Data'!B:B,0))),0)</f>
        <v>784119.35</v>
      </c>
      <c r="AX369" s="72">
        <f>IFERROR(IF(F367="IMD",0,INDEX('2023 OP UPL Data'!L:L,MATCH(A:A,'2023 OP UPL Data'!B:B,0))),0)</f>
        <v>1411609.1</v>
      </c>
      <c r="AY369" s="45">
        <f t="shared" si="147"/>
        <v>2195728.4500000002</v>
      </c>
      <c r="AZ369" s="72">
        <v>716285.33732540102</v>
      </c>
      <c r="BA369" s="72">
        <v>1265112.6155254559</v>
      </c>
      <c r="BB369" s="72">
        <f t="shared" si="148"/>
        <v>467047.94164481631</v>
      </c>
      <c r="BC369" s="72">
        <f t="shared" si="148"/>
        <v>783384.59443753399</v>
      </c>
      <c r="BD369" s="72">
        <f t="shared" si="149"/>
        <v>1250432.5360823502</v>
      </c>
      <c r="BE369" s="94">
        <f t="shared" si="150"/>
        <v>0</v>
      </c>
      <c r="BF369" s="94">
        <f t="shared" si="150"/>
        <v>0</v>
      </c>
      <c r="BG369" s="73">
        <f>IFERROR(INDEX('2023 IP UPL Data'!K:K,MATCH(A369,'2023 IP UPL Data'!B:B,0)),0)</f>
        <v>0</v>
      </c>
    </row>
    <row r="370" spans="1:59">
      <c r="A370" s="124" t="s">
        <v>195</v>
      </c>
      <c r="B370" s="149" t="s">
        <v>195</v>
      </c>
      <c r="C370" s="31" t="s">
        <v>196</v>
      </c>
      <c r="D370" s="181" t="s">
        <v>196</v>
      </c>
      <c r="E370" s="144" t="s">
        <v>3373</v>
      </c>
      <c r="F370" s="120" t="s">
        <v>2768</v>
      </c>
      <c r="G370" s="120" t="s">
        <v>1553</v>
      </c>
      <c r="H370" s="43" t="str">
        <f t="shared" si="130"/>
        <v>Rural Nueces</v>
      </c>
      <c r="I370" s="45">
        <f>INDEX(FeeCalc!M:M,MATCH(C:C,FeeCalc!F:F,0))</f>
        <v>44561.260419696344</v>
      </c>
      <c r="J370" s="45">
        <f>INDEX(FeeCalc!L:L,MATCH(C:C,FeeCalc!F:F,0))</f>
        <v>883337.92432043224</v>
      </c>
      <c r="K370" s="45">
        <f t="shared" si="131"/>
        <v>927899.18474012858</v>
      </c>
      <c r="L370" s="45">
        <f>IFERROR(IFERROR(INDEX('2023 IP UPL Data'!N:N,MATCH(A:A,'2023 IP UPL Data'!B:B,0)),INDEX('2023 IMD UPL Data'!M:M,MATCH(A:A,'2023 IMD UPL Data'!B:B,0))),0)</f>
        <v>44369.032941705867</v>
      </c>
      <c r="M370" s="45">
        <f>IFERROR((IF(F370="IMD",0,INDEX('2023 OP UPL Data'!M:M,MATCH(A:A,'2023 OP UPL Data'!B:B,0)))),0)</f>
        <v>259698.42481481488</v>
      </c>
      <c r="N370" s="45">
        <f t="shared" si="132"/>
        <v>304067.45775652071</v>
      </c>
      <c r="O370" s="45">
        <v>-19856.515763064701</v>
      </c>
      <c r="P370" s="45">
        <v>261782.83685202309</v>
      </c>
      <c r="Q370" s="45">
        <f t="shared" si="133"/>
        <v>241926.32108895839</v>
      </c>
      <c r="R370" s="45" t="str">
        <f t="shared" si="134"/>
        <v>No</v>
      </c>
      <c r="S370" s="46" t="str">
        <f t="shared" si="134"/>
        <v>Yes</v>
      </c>
      <c r="T370" s="47">
        <f>ROUND(INDEX(Summary!H:H,MATCH(H:H,Summary!A:A,0)),2)</f>
        <v>0.12</v>
      </c>
      <c r="U370" s="47">
        <f>ROUND(INDEX(Summary!I:I,MATCH(H:H,Summary!A:A,0)),2)</f>
        <v>0.17</v>
      </c>
      <c r="V370" s="85">
        <f t="shared" si="135"/>
        <v>5347.3512503635611</v>
      </c>
      <c r="W370" s="85">
        <f t="shared" si="135"/>
        <v>150167.44713447348</v>
      </c>
      <c r="X370" s="45">
        <f t="shared" si="136"/>
        <v>155514.79838483705</v>
      </c>
      <c r="Y370" s="45" t="s">
        <v>3224</v>
      </c>
      <c r="Z370" s="45" t="str">
        <f t="shared" si="137"/>
        <v>No</v>
      </c>
      <c r="AA370" s="45" t="str">
        <f t="shared" si="137"/>
        <v>No</v>
      </c>
      <c r="AB370" s="45" t="str">
        <f t="shared" si="138"/>
        <v>No</v>
      </c>
      <c r="AC370" s="86">
        <f t="shared" si="151"/>
        <v>0</v>
      </c>
      <c r="AD370" s="86">
        <f t="shared" si="152"/>
        <v>0</v>
      </c>
      <c r="AE370" s="45">
        <f t="shared" si="153"/>
        <v>0</v>
      </c>
      <c r="AF370" s="45">
        <f t="shared" si="153"/>
        <v>0</v>
      </c>
      <c r="AG370" s="45">
        <f t="shared" si="139"/>
        <v>0</v>
      </c>
      <c r="AH370" s="47">
        <f>IF(Y370="No",0,IFERROR(ROUNDDOWN(INDEX('90% of ACR'!K:K,MATCH(H:H,'90% of ACR'!A:A,0))*IF(I370&gt;0,IF(O370&gt;0,$R$4*MAX(O370-V370,0),0),0)/I370,2),0))</f>
        <v>0</v>
      </c>
      <c r="AI370" s="86">
        <f>IF(Y370="No",0,IFERROR(ROUNDDOWN(INDEX('90% of ACR'!R:R,MATCH(H:H,'90% of ACR'!A:A,0))*IF(J370&gt;0,IF(P370&gt;0,$R$4*MAX(P370-W370,0),0),0)/J370,2),0))</f>
        <v>0</v>
      </c>
      <c r="AJ370" s="45">
        <f t="shared" si="140"/>
        <v>0</v>
      </c>
      <c r="AK370" s="45">
        <f t="shared" si="140"/>
        <v>0</v>
      </c>
      <c r="AL370" s="47">
        <f t="shared" si="141"/>
        <v>0.12</v>
      </c>
      <c r="AM370" s="47">
        <f t="shared" si="141"/>
        <v>0.17</v>
      </c>
      <c r="AN370" s="87">
        <f>IFERROR(INDEX(FeeCalc!P:P,MATCH(C370,FeeCalc!F:F,0)),0)</f>
        <v>155514.79838483705</v>
      </c>
      <c r="AO370" s="87">
        <f>IFERROR(INDEX(FeeCalc!S:S,MATCH(C370,FeeCalc!F:F,0)),0)</f>
        <v>9611.4425202705352</v>
      </c>
      <c r="AP370" s="87">
        <f t="shared" si="142"/>
        <v>165126.24090510758</v>
      </c>
      <c r="AQ370" s="72">
        <f t="shared" si="143"/>
        <v>70068.348055746115</v>
      </c>
      <c r="AR370" s="72">
        <f t="shared" si="144"/>
        <v>35034.174027873058</v>
      </c>
      <c r="AS370" s="72">
        <f t="shared" si="145"/>
        <v>35034.174027873058</v>
      </c>
      <c r="AT370" s="72">
        <f>IFERROR(IFERROR(INDEX('2023 IP UPL Data'!L:L,MATCH(A:A,'2023 IP UPL Data'!B:B,0)),INDEX('2023 IMD UPL Data'!I:I,MATCH(A:A,'2023 IMD UPL Data'!B:B,0))),0)</f>
        <v>87019.377058294136</v>
      </c>
      <c r="AU370" s="72">
        <f>IFERROR(IF(F368="IMD",0,INDEX('2023 OP UPL Data'!J:J,MATCH(A:A,'2023 OP UPL Data'!B:B,0))),0)</f>
        <v>296237.10518518515</v>
      </c>
      <c r="AV370" s="45">
        <f t="shared" si="146"/>
        <v>383256.48224347929</v>
      </c>
      <c r="AW370" s="72">
        <f>IFERROR(IFERROR(INDEX('2023 IP UPL Data'!M:M,MATCH(A:A,'2023 IP UPL Data'!B:B,0)),INDEX('2023 IMD UPL Data'!K:K,MATCH(A:A,'2023 IMD UPL Data'!B:B,0))),0)</f>
        <v>131388.41</v>
      </c>
      <c r="AX370" s="72">
        <f>IFERROR(IF(F368="IMD",0,INDEX('2023 OP UPL Data'!L:L,MATCH(A:A,'2023 OP UPL Data'!B:B,0))),0)</f>
        <v>555935.53</v>
      </c>
      <c r="AY370" s="45">
        <f t="shared" si="147"/>
        <v>687323.94000000006</v>
      </c>
      <c r="AZ370" s="72">
        <v>67162.861295229435</v>
      </c>
      <c r="BA370" s="72">
        <v>558019.94203720824</v>
      </c>
      <c r="BB370" s="72">
        <f t="shared" si="148"/>
        <v>61815.510044865878</v>
      </c>
      <c r="BC370" s="72">
        <f t="shared" si="148"/>
        <v>407852.49490273476</v>
      </c>
      <c r="BD370" s="72">
        <f t="shared" si="149"/>
        <v>469668.0049476006</v>
      </c>
      <c r="BE370" s="94">
        <f t="shared" si="150"/>
        <v>0</v>
      </c>
      <c r="BF370" s="94">
        <f t="shared" si="150"/>
        <v>2084.4120372082107</v>
      </c>
      <c r="BG370" s="73">
        <f>IFERROR(INDEX('2023 IP UPL Data'!K:K,MATCH(A370,'2023 IP UPL Data'!B:B,0)),0)</f>
        <v>0</v>
      </c>
    </row>
    <row r="371" spans="1:59">
      <c r="A371" s="124" t="s">
        <v>88</v>
      </c>
      <c r="B371" s="149" t="s">
        <v>88</v>
      </c>
      <c r="C371" s="31" t="s">
        <v>89</v>
      </c>
      <c r="D371" s="181" t="s">
        <v>89</v>
      </c>
      <c r="E371" s="144" t="s">
        <v>3145</v>
      </c>
      <c r="F371" s="120" t="s">
        <v>2768</v>
      </c>
      <c r="G371" s="120" t="s">
        <v>1489</v>
      </c>
      <c r="H371" s="43" t="str">
        <f t="shared" si="130"/>
        <v>Rural MRSA Central</v>
      </c>
      <c r="I371" s="45">
        <f>INDEX(FeeCalc!M:M,MATCH(C:C,FeeCalc!F:F,0))</f>
        <v>383587.11071837624</v>
      </c>
      <c r="J371" s="45">
        <f>INDEX(FeeCalc!L:L,MATCH(C:C,FeeCalc!F:F,0))</f>
        <v>2293780.8730278993</v>
      </c>
      <c r="K371" s="45">
        <f t="shared" si="131"/>
        <v>2677367.9837462753</v>
      </c>
      <c r="L371" s="45">
        <f>IFERROR(IFERROR(INDEX('2023 IP UPL Data'!N:N,MATCH(A:A,'2023 IP UPL Data'!B:B,0)),INDEX('2023 IMD UPL Data'!M:M,MATCH(A:A,'2023 IMD UPL Data'!B:B,0))),0)</f>
        <v>275325.14630718919</v>
      </c>
      <c r="M371" s="45">
        <f>IFERROR((IF(F371="IMD",0,INDEX('2023 OP UPL Data'!M:M,MATCH(A:A,'2023 OP UPL Data'!B:B,0)))),0)</f>
        <v>225361.53337748372</v>
      </c>
      <c r="N371" s="45">
        <f t="shared" si="132"/>
        <v>500686.67968467291</v>
      </c>
      <c r="O371" s="45">
        <v>403856.2035023254</v>
      </c>
      <c r="P371" s="45">
        <v>1571711.7190577288</v>
      </c>
      <c r="Q371" s="45">
        <f t="shared" si="133"/>
        <v>1975567.9225600541</v>
      </c>
      <c r="R371" s="45" t="str">
        <f t="shared" si="134"/>
        <v>Yes</v>
      </c>
      <c r="S371" s="46" t="str">
        <f t="shared" si="134"/>
        <v>Yes</v>
      </c>
      <c r="T371" s="47">
        <f>ROUND(INDEX(Summary!H:H,MATCH(H:H,Summary!A:A,0)),2)</f>
        <v>0</v>
      </c>
      <c r="U371" s="47">
        <f>ROUND(INDEX(Summary!I:I,MATCH(H:H,Summary!A:A,0)),2)</f>
        <v>0.17</v>
      </c>
      <c r="V371" s="85">
        <f t="shared" si="135"/>
        <v>0</v>
      </c>
      <c r="W371" s="85">
        <f t="shared" si="135"/>
        <v>389942.74841474293</v>
      </c>
      <c r="X371" s="45">
        <f t="shared" si="136"/>
        <v>389942.74841474293</v>
      </c>
      <c r="Y371" s="45" t="s">
        <v>3223</v>
      </c>
      <c r="Z371" s="45" t="str">
        <f t="shared" si="137"/>
        <v>No</v>
      </c>
      <c r="AA371" s="45" t="str">
        <f t="shared" si="137"/>
        <v>Yes</v>
      </c>
      <c r="AB371" s="45" t="str">
        <f t="shared" si="138"/>
        <v>Yes</v>
      </c>
      <c r="AC371" s="86">
        <f t="shared" si="151"/>
        <v>0.73</v>
      </c>
      <c r="AD371" s="86">
        <f t="shared" si="152"/>
        <v>0.36</v>
      </c>
      <c r="AE371" s="45">
        <f t="shared" si="153"/>
        <v>280018.59082441463</v>
      </c>
      <c r="AF371" s="45">
        <f t="shared" si="153"/>
        <v>825761.11429004371</v>
      </c>
      <c r="AG371" s="45">
        <f t="shared" si="139"/>
        <v>1105779.7051144582</v>
      </c>
      <c r="AH371" s="47">
        <f>IF(Y371="No",0,IFERROR(ROUNDDOWN(INDEX('90% of ACR'!K:K,MATCH(H:H,'90% of ACR'!A:A,0))*IF(I371&gt;0,IF(O371&gt;0,$R$4*MAX(O371-V371,0),0),0)/I371,2),0))</f>
        <v>0</v>
      </c>
      <c r="AI371" s="86">
        <f>IF(Y371="No",0,IFERROR(ROUNDDOWN(INDEX('90% of ACR'!R:R,MATCH(H:H,'90% of ACR'!A:A,0))*IF(J371&gt;0,IF(P371&gt;0,$R$4*MAX(P371-W371,0),0),0)/J371,2),0))</f>
        <v>0.35</v>
      </c>
      <c r="AJ371" s="45">
        <f t="shared" si="140"/>
        <v>0</v>
      </c>
      <c r="AK371" s="45">
        <f t="shared" si="140"/>
        <v>802823.30555976473</v>
      </c>
      <c r="AL371" s="47">
        <f t="shared" si="141"/>
        <v>0</v>
      </c>
      <c r="AM371" s="47">
        <f t="shared" si="141"/>
        <v>0.52</v>
      </c>
      <c r="AN371" s="87">
        <f>IFERROR(INDEX(FeeCalc!P:P,MATCH(C371,FeeCalc!F:F,0)),0)</f>
        <v>1192766.0539745076</v>
      </c>
      <c r="AO371" s="87">
        <f>IFERROR(INDEX(FeeCalc!S:S,MATCH(C371,FeeCalc!F:F,0)),0)</f>
        <v>73728.179821087979</v>
      </c>
      <c r="AP371" s="87">
        <f t="shared" si="142"/>
        <v>1266494.2337955956</v>
      </c>
      <c r="AQ371" s="72">
        <f t="shared" si="143"/>
        <v>537414.0312149527</v>
      </c>
      <c r="AR371" s="72">
        <f t="shared" si="144"/>
        <v>268707.01560747635</v>
      </c>
      <c r="AS371" s="72">
        <f t="shared" si="145"/>
        <v>268707.01560747635</v>
      </c>
      <c r="AT371" s="72">
        <f>IFERROR(IFERROR(INDEX('2023 IP UPL Data'!L:L,MATCH(A:A,'2023 IP UPL Data'!B:B,0)),INDEX('2023 IMD UPL Data'!I:I,MATCH(A:A,'2023 IMD UPL Data'!B:B,0))),0)</f>
        <v>184851.07369281078</v>
      </c>
      <c r="AU371" s="72">
        <f>IFERROR(IF(F369="IMD",0,INDEX('2023 OP UPL Data'!J:J,MATCH(A:A,'2023 OP UPL Data'!B:B,0))),0)</f>
        <v>823323.56662251637</v>
      </c>
      <c r="AV371" s="45">
        <f t="shared" si="146"/>
        <v>1008174.6403153271</v>
      </c>
      <c r="AW371" s="72">
        <f>IFERROR(IFERROR(INDEX('2023 IP UPL Data'!M:M,MATCH(A:A,'2023 IP UPL Data'!B:B,0)),INDEX('2023 IMD UPL Data'!K:K,MATCH(A:A,'2023 IMD UPL Data'!B:B,0))),0)</f>
        <v>460176.22</v>
      </c>
      <c r="AX371" s="72">
        <f>IFERROR(IF(F369="IMD",0,INDEX('2023 OP UPL Data'!L:L,MATCH(A:A,'2023 OP UPL Data'!B:B,0))),0)</f>
        <v>1048685.1000000001</v>
      </c>
      <c r="AY371" s="45">
        <f t="shared" si="147"/>
        <v>1508861.32</v>
      </c>
      <c r="AZ371" s="72">
        <v>588707.27719513618</v>
      </c>
      <c r="BA371" s="72">
        <v>2395035.2856802451</v>
      </c>
      <c r="BB371" s="72">
        <f t="shared" si="148"/>
        <v>588707.27719513618</v>
      </c>
      <c r="BC371" s="72">
        <f t="shared" si="148"/>
        <v>2005092.5372655021</v>
      </c>
      <c r="BD371" s="72">
        <f t="shared" si="149"/>
        <v>2593799.8144606384</v>
      </c>
      <c r="BE371" s="94">
        <f t="shared" si="150"/>
        <v>128531.05719513621</v>
      </c>
      <c r="BF371" s="94">
        <f t="shared" si="150"/>
        <v>1346350.185680245</v>
      </c>
      <c r="BG371" s="73">
        <f>IFERROR(INDEX('2023 IP UPL Data'!K:K,MATCH(A371,'2023 IP UPL Data'!B:B,0)),0)</f>
        <v>0</v>
      </c>
    </row>
    <row r="372" spans="1:59">
      <c r="A372" s="124" t="s">
        <v>171</v>
      </c>
      <c r="B372" s="149" t="s">
        <v>171</v>
      </c>
      <c r="C372" s="31" t="s">
        <v>172</v>
      </c>
      <c r="D372" s="181" t="s">
        <v>172</v>
      </c>
      <c r="E372" s="144" t="s">
        <v>3320</v>
      </c>
      <c r="F372" s="120" t="s">
        <v>2768</v>
      </c>
      <c r="G372" s="120" t="s">
        <v>227</v>
      </c>
      <c r="H372" s="43" t="str">
        <f t="shared" si="130"/>
        <v>Rural MRSA West</v>
      </c>
      <c r="I372" s="45">
        <f>INDEX(FeeCalc!M:M,MATCH(C:C,FeeCalc!F:F,0))</f>
        <v>99818.274437453831</v>
      </c>
      <c r="J372" s="45">
        <f>INDEX(FeeCalc!L:L,MATCH(C:C,FeeCalc!F:F,0))</f>
        <v>726853.39851378824</v>
      </c>
      <c r="K372" s="45">
        <f t="shared" si="131"/>
        <v>826671.67295124207</v>
      </c>
      <c r="L372" s="45">
        <f>IFERROR(IFERROR(INDEX('2023 IP UPL Data'!N:N,MATCH(A:A,'2023 IP UPL Data'!B:B,0)),INDEX('2023 IMD UPL Data'!M:M,MATCH(A:A,'2023 IMD UPL Data'!B:B,0))),0)</f>
        <v>2396.0791942327196</v>
      </c>
      <c r="M372" s="45">
        <f>IFERROR((IF(F372="IMD",0,INDEX('2023 OP UPL Data'!M:M,MATCH(A:A,'2023 OP UPL Data'!B:B,0)))),0)</f>
        <v>108875.31632653065</v>
      </c>
      <c r="N372" s="45">
        <f t="shared" si="132"/>
        <v>111271.39552076337</v>
      </c>
      <c r="O372" s="45">
        <v>-23299.552699663713</v>
      </c>
      <c r="P372" s="45">
        <v>235245.92839042866</v>
      </c>
      <c r="Q372" s="45">
        <f t="shared" si="133"/>
        <v>211946.37569076495</v>
      </c>
      <c r="R372" s="45" t="str">
        <f t="shared" si="134"/>
        <v>No</v>
      </c>
      <c r="S372" s="46" t="str">
        <f t="shared" si="134"/>
        <v>Yes</v>
      </c>
      <c r="T372" s="47">
        <f>ROUND(INDEX(Summary!H:H,MATCH(H:H,Summary!A:A,0)),2)</f>
        <v>0</v>
      </c>
      <c r="U372" s="47">
        <f>ROUND(INDEX(Summary!I:I,MATCH(H:H,Summary!A:A,0)),2)</f>
        <v>0.28999999999999998</v>
      </c>
      <c r="V372" s="85">
        <f t="shared" si="135"/>
        <v>0</v>
      </c>
      <c r="W372" s="85">
        <f t="shared" si="135"/>
        <v>210787.48556899859</v>
      </c>
      <c r="X372" s="45">
        <f t="shared" si="136"/>
        <v>210787.48556899859</v>
      </c>
      <c r="Y372" s="45" t="s">
        <v>3223</v>
      </c>
      <c r="Z372" s="45" t="str">
        <f t="shared" si="137"/>
        <v>No</v>
      </c>
      <c r="AA372" s="45" t="str">
        <f t="shared" si="137"/>
        <v>Yes</v>
      </c>
      <c r="AB372" s="45" t="str">
        <f t="shared" si="138"/>
        <v>Yes</v>
      </c>
      <c r="AC372" s="86">
        <f t="shared" si="151"/>
        <v>0</v>
      </c>
      <c r="AD372" s="86">
        <f t="shared" si="152"/>
        <v>0.02</v>
      </c>
      <c r="AE372" s="45">
        <f t="shared" si="153"/>
        <v>0</v>
      </c>
      <c r="AF372" s="45">
        <f t="shared" si="153"/>
        <v>14537.067970275764</v>
      </c>
      <c r="AG372" s="45">
        <f t="shared" si="139"/>
        <v>14537.067970275764</v>
      </c>
      <c r="AH372" s="47">
        <f>IF(Y372="No",0,IFERROR(ROUNDDOWN(INDEX('90% of ACR'!K:K,MATCH(H:H,'90% of ACR'!A:A,0))*IF(I372&gt;0,IF(O372&gt;0,$R$4*MAX(O372-V372,0),0),0)/I372,2),0))</f>
        <v>0</v>
      </c>
      <c r="AI372" s="86">
        <f>IF(Y372="No",0,IFERROR(ROUNDDOWN(INDEX('90% of ACR'!R:R,MATCH(H:H,'90% of ACR'!A:A,0))*IF(J372&gt;0,IF(P372&gt;0,$R$4*MAX(P372-W372,0),0),0)/J372,2),0))</f>
        <v>0.02</v>
      </c>
      <c r="AJ372" s="45">
        <f t="shared" si="140"/>
        <v>0</v>
      </c>
      <c r="AK372" s="45">
        <f t="shared" si="140"/>
        <v>14537.067970275764</v>
      </c>
      <c r="AL372" s="47">
        <f t="shared" si="141"/>
        <v>0</v>
      </c>
      <c r="AM372" s="47">
        <f t="shared" si="141"/>
        <v>0.31</v>
      </c>
      <c r="AN372" s="87">
        <f>IFERROR(INDEX(FeeCalc!P:P,MATCH(C372,FeeCalc!F:F,0)),0)</f>
        <v>225324.55353927435</v>
      </c>
      <c r="AO372" s="87">
        <f>IFERROR(INDEX(FeeCalc!S:S,MATCH(C372,FeeCalc!F:F,0)),0)</f>
        <v>13914.133169562199</v>
      </c>
      <c r="AP372" s="87">
        <f t="shared" si="142"/>
        <v>239238.68670883655</v>
      </c>
      <c r="AQ372" s="72">
        <f t="shared" si="143"/>
        <v>101516.63040853404</v>
      </c>
      <c r="AR372" s="72">
        <f t="shared" si="144"/>
        <v>50758.315204267019</v>
      </c>
      <c r="AS372" s="72">
        <f t="shared" si="145"/>
        <v>50758.315204267019</v>
      </c>
      <c r="AT372" s="72">
        <f>IFERROR(IFERROR(INDEX('2023 IP UPL Data'!L:L,MATCH(A:A,'2023 IP UPL Data'!B:B,0)),INDEX('2023 IMD UPL Data'!I:I,MATCH(A:A,'2023 IMD UPL Data'!B:B,0))),0)</f>
        <v>32559.690805767277</v>
      </c>
      <c r="AU372" s="72">
        <f>IFERROR(IF(F370="IMD",0,INDEX('2023 OP UPL Data'!J:J,MATCH(A:A,'2023 OP UPL Data'!B:B,0))),0)</f>
        <v>357459.82367346936</v>
      </c>
      <c r="AV372" s="45">
        <f t="shared" si="146"/>
        <v>390019.51447923662</v>
      </c>
      <c r="AW372" s="72">
        <f>IFERROR(IFERROR(INDEX('2023 IP UPL Data'!M:M,MATCH(A:A,'2023 IP UPL Data'!B:B,0)),INDEX('2023 IMD UPL Data'!K:K,MATCH(A:A,'2023 IMD UPL Data'!B:B,0))),0)</f>
        <v>34955.769999999997</v>
      </c>
      <c r="AX372" s="72">
        <f>IFERROR(IF(F370="IMD",0,INDEX('2023 OP UPL Data'!L:L,MATCH(A:A,'2023 OP UPL Data'!B:B,0))),0)</f>
        <v>466335.14</v>
      </c>
      <c r="AY372" s="45">
        <f t="shared" si="147"/>
        <v>501290.91000000003</v>
      </c>
      <c r="AZ372" s="72">
        <v>9260.1381061035627</v>
      </c>
      <c r="BA372" s="72">
        <v>592705.75206389802</v>
      </c>
      <c r="BB372" s="72">
        <f t="shared" si="148"/>
        <v>9260.1381061035627</v>
      </c>
      <c r="BC372" s="72">
        <f t="shared" si="148"/>
        <v>381918.26649489941</v>
      </c>
      <c r="BD372" s="72">
        <f t="shared" si="149"/>
        <v>391178.40460100293</v>
      </c>
      <c r="BE372" s="94">
        <f t="shared" si="150"/>
        <v>0</v>
      </c>
      <c r="BF372" s="94">
        <f t="shared" si="150"/>
        <v>126370.61206389801</v>
      </c>
      <c r="BG372" s="73">
        <f>IFERROR(INDEX('2023 IP UPL Data'!K:K,MATCH(A372,'2023 IP UPL Data'!B:B,0)),0)</f>
        <v>0</v>
      </c>
    </row>
    <row r="373" spans="1:59" ht="25.5">
      <c r="A373" s="124" t="s">
        <v>465</v>
      </c>
      <c r="B373" s="149" t="s">
        <v>465</v>
      </c>
      <c r="C373" s="31" t="s">
        <v>466</v>
      </c>
      <c r="D373" s="181" t="s">
        <v>466</v>
      </c>
      <c r="E373" s="144" t="s">
        <v>3141</v>
      </c>
      <c r="F373" s="120" t="s">
        <v>3388</v>
      </c>
      <c r="G373" s="120" t="s">
        <v>223</v>
      </c>
      <c r="H373" s="43" t="str">
        <f t="shared" si="130"/>
        <v>State-owned non-IMD Dallas</v>
      </c>
      <c r="I373" s="45">
        <f>INDEX(FeeCalc!M:M,MATCH(C:C,FeeCalc!F:F,0))</f>
        <v>25623426.557137191</v>
      </c>
      <c r="J373" s="45">
        <f>INDEX(FeeCalc!L:L,MATCH(C:C,FeeCalc!F:F,0))</f>
        <v>5477233.1539729591</v>
      </c>
      <c r="K373" s="45">
        <f t="shared" si="131"/>
        <v>31100659.711110152</v>
      </c>
      <c r="L373" s="45">
        <f>IFERROR(IFERROR(INDEX('2023 IP UPL Data'!N:N,MATCH(A:A,'2023 IP UPL Data'!B:B,0)),INDEX('2023 IMD UPL Data'!M:M,MATCH(A:A,'2023 IMD UPL Data'!B:B,0))),0)</f>
        <v>17081417.992088351</v>
      </c>
      <c r="M373" s="45">
        <f>IFERROR((IF(F373="IMD",0,INDEX('2023 OP UPL Data'!M:M,MATCH(A:A,'2023 OP UPL Data'!B:B,0)))),0)</f>
        <v>9555182.0240160637</v>
      </c>
      <c r="N373" s="45">
        <f t="shared" si="132"/>
        <v>26636600.016104415</v>
      </c>
      <c r="O373" s="45">
        <v>37798007.317896888</v>
      </c>
      <c r="P373" s="45">
        <v>16527002.871515002</v>
      </c>
      <c r="Q373" s="45">
        <f t="shared" si="133"/>
        <v>54325010.189411893</v>
      </c>
      <c r="R373" s="45" t="str">
        <f t="shared" si="134"/>
        <v>Yes</v>
      </c>
      <c r="S373" s="46" t="str">
        <f t="shared" si="134"/>
        <v>Yes</v>
      </c>
      <c r="T373" s="47">
        <f>ROUND(INDEX(Summary!H:H,MATCH(H:H,Summary!A:A,0)),2)</f>
        <v>0.67</v>
      </c>
      <c r="U373" s="47">
        <f>ROUND(INDEX(Summary!I:I,MATCH(H:H,Summary!A:A,0)),2)</f>
        <v>1.74</v>
      </c>
      <c r="V373" s="85">
        <f t="shared" si="135"/>
        <v>17167695.79328192</v>
      </c>
      <c r="W373" s="85">
        <f t="shared" si="135"/>
        <v>9530385.6879129484</v>
      </c>
      <c r="X373" s="45">
        <f t="shared" si="136"/>
        <v>26698081.481194869</v>
      </c>
      <c r="Y373" s="45" t="s">
        <v>3223</v>
      </c>
      <c r="Z373" s="45" t="str">
        <f t="shared" si="137"/>
        <v>Yes</v>
      </c>
      <c r="AA373" s="45" t="str">
        <f t="shared" si="137"/>
        <v>Yes</v>
      </c>
      <c r="AB373" s="45" t="str">
        <f t="shared" si="138"/>
        <v>Yes</v>
      </c>
      <c r="AC373" s="86">
        <f t="shared" si="151"/>
        <v>0.56000000000000005</v>
      </c>
      <c r="AD373" s="86">
        <f t="shared" si="152"/>
        <v>0.89</v>
      </c>
      <c r="AE373" s="45">
        <f t="shared" si="153"/>
        <v>14349118.871996829</v>
      </c>
      <c r="AF373" s="45">
        <f t="shared" si="153"/>
        <v>4874737.5070359334</v>
      </c>
      <c r="AG373" s="45">
        <f t="shared" si="139"/>
        <v>19223856.379032761</v>
      </c>
      <c r="AH373" s="47">
        <f>IF(Y373="No",0,IFERROR(ROUNDDOWN(INDEX('90% of ACR'!K:K,MATCH(H:H,'90% of ACR'!A:A,0))*IF(I373&gt;0,IF(O373&gt;0,$R$4*MAX(O373-V373,0),0),0)/I373,2),0))</f>
        <v>0.56000000000000005</v>
      </c>
      <c r="AI373" s="86">
        <f>IF(Y373="No",0,IFERROR(ROUNDDOWN(INDEX('90% of ACR'!R:R,MATCH(H:H,'90% of ACR'!A:A,0))*IF(J373&gt;0,IF(P373&gt;0,$R$4*MAX(P373-W373,0),0),0)/J373,2),0))</f>
        <v>0.88</v>
      </c>
      <c r="AJ373" s="45">
        <f t="shared" si="140"/>
        <v>14349118.871996829</v>
      </c>
      <c r="AK373" s="45">
        <f t="shared" si="140"/>
        <v>4819965.1754962038</v>
      </c>
      <c r="AL373" s="47">
        <f t="shared" si="141"/>
        <v>1.23</v>
      </c>
      <c r="AM373" s="47">
        <f t="shared" si="141"/>
        <v>2.62</v>
      </c>
      <c r="AN373" s="87">
        <f>IFERROR(INDEX(FeeCalc!P:P,MATCH(C373,FeeCalc!F:F,0)),0)</f>
        <v>45867165.528687894</v>
      </c>
      <c r="AO373" s="87">
        <f>IFERROR(INDEX(FeeCalc!S:S,MATCH(C373,FeeCalc!F:F,0)),0)</f>
        <v>2891628.7852492151</v>
      </c>
      <c r="AP373" s="87">
        <f t="shared" si="142"/>
        <v>48758794.313937113</v>
      </c>
      <c r="AQ373" s="72">
        <f t="shared" si="143"/>
        <v>20689916.708821565</v>
      </c>
      <c r="AR373" s="72">
        <f t="shared" si="144"/>
        <v>10344958.354410782</v>
      </c>
      <c r="AS373" s="72">
        <f t="shared" si="145"/>
        <v>10344958.354410782</v>
      </c>
      <c r="AT373" s="72">
        <f>IFERROR(IFERROR(INDEX('2023 IP UPL Data'!L:L,MATCH(A:A,'2023 IP UPL Data'!B:B,0)),INDEX('2023 IMD UPL Data'!I:I,MATCH(A:A,'2023 IMD UPL Data'!B:B,0))),0)</f>
        <v>8951729.4779116474</v>
      </c>
      <c r="AU373" s="72">
        <f>IFERROR(IF(F371="IMD",0,INDEX('2023 OP UPL Data'!J:J,MATCH(A:A,'2023 OP UPL Data'!B:B,0))),0)</f>
        <v>2882980.9959839354</v>
      </c>
      <c r="AV373" s="45">
        <f t="shared" si="146"/>
        <v>11834710.473895583</v>
      </c>
      <c r="AW373" s="72">
        <f>IFERROR(IFERROR(INDEX('2023 IP UPL Data'!M:M,MATCH(A:A,'2023 IP UPL Data'!B:B,0)),INDEX('2023 IMD UPL Data'!K:K,MATCH(A:A,'2023 IMD UPL Data'!B:B,0))),0)</f>
        <v>26033147.469999999</v>
      </c>
      <c r="AX373" s="72">
        <f>IFERROR(IF(F371="IMD",0,INDEX('2023 OP UPL Data'!L:L,MATCH(A:A,'2023 OP UPL Data'!B:B,0))),0)</f>
        <v>12438163.02</v>
      </c>
      <c r="AY373" s="45">
        <f t="shared" si="147"/>
        <v>38471310.489999995</v>
      </c>
      <c r="AZ373" s="72">
        <v>46749736.795808539</v>
      </c>
      <c r="BA373" s="72">
        <v>19409983.867498938</v>
      </c>
      <c r="BB373" s="72">
        <f t="shared" si="148"/>
        <v>29582041.002526619</v>
      </c>
      <c r="BC373" s="72">
        <f t="shared" si="148"/>
        <v>9879598.1795859896</v>
      </c>
      <c r="BD373" s="72">
        <f t="shared" si="149"/>
        <v>39461639.182112604</v>
      </c>
      <c r="BE373" s="94">
        <f t="shared" si="150"/>
        <v>20716589.32580854</v>
      </c>
      <c r="BF373" s="94">
        <f t="shared" si="150"/>
        <v>6971820.8474989384</v>
      </c>
      <c r="BG373" s="73">
        <f>IFERROR(INDEX('2023 IP UPL Data'!K:K,MATCH(A373,'2023 IP UPL Data'!B:B,0)),0)</f>
        <v>0</v>
      </c>
    </row>
    <row r="374" spans="1:59">
      <c r="A374" s="124" t="s">
        <v>850</v>
      </c>
      <c r="B374" s="149" t="s">
        <v>850</v>
      </c>
      <c r="C374" s="31" t="s">
        <v>851</v>
      </c>
      <c r="D374" s="181" t="s">
        <v>851</v>
      </c>
      <c r="E374" s="144" t="s">
        <v>2862</v>
      </c>
      <c r="F374" s="120" t="s">
        <v>2768</v>
      </c>
      <c r="G374" s="120" t="s">
        <v>1553</v>
      </c>
      <c r="H374" s="43" t="str">
        <f t="shared" si="130"/>
        <v>Rural Nueces</v>
      </c>
      <c r="I374" s="45">
        <f>INDEX(FeeCalc!M:M,MATCH(C:C,FeeCalc!F:F,0))</f>
        <v>648177.87770641758</v>
      </c>
      <c r="J374" s="45">
        <f>INDEX(FeeCalc!L:L,MATCH(C:C,FeeCalc!F:F,0))</f>
        <v>1584388.9664811767</v>
      </c>
      <c r="K374" s="45">
        <f t="shared" si="131"/>
        <v>2232566.844187594</v>
      </c>
      <c r="L374" s="45">
        <f>IFERROR(IFERROR(INDEX('2023 IP UPL Data'!N:N,MATCH(A:A,'2023 IP UPL Data'!B:B,0)),INDEX('2023 IMD UPL Data'!M:M,MATCH(A:A,'2023 IMD UPL Data'!B:B,0))),0)</f>
        <v>175502.83017586044</v>
      </c>
      <c r="M374" s="45">
        <f>IFERROR((IF(F374="IMD",0,INDEX('2023 OP UPL Data'!M:M,MATCH(A:A,'2023 OP UPL Data'!B:B,0)))),0)</f>
        <v>-271090.99271604919</v>
      </c>
      <c r="N374" s="45">
        <f t="shared" si="132"/>
        <v>-95588.162540188758</v>
      </c>
      <c r="O374" s="45">
        <v>-9618.3438371680677</v>
      </c>
      <c r="P374" s="45">
        <v>205808.28555296839</v>
      </c>
      <c r="Q374" s="45">
        <f t="shared" si="133"/>
        <v>196189.94171580032</v>
      </c>
      <c r="R374" s="45" t="str">
        <f t="shared" si="134"/>
        <v>No</v>
      </c>
      <c r="S374" s="46" t="str">
        <f t="shared" si="134"/>
        <v>Yes</v>
      </c>
      <c r="T374" s="47">
        <f>ROUND(INDEX(Summary!H:H,MATCH(H:H,Summary!A:A,0)),2)</f>
        <v>0.12</v>
      </c>
      <c r="U374" s="47">
        <f>ROUND(INDEX(Summary!I:I,MATCH(H:H,Summary!A:A,0)),2)</f>
        <v>0.17</v>
      </c>
      <c r="V374" s="85">
        <f t="shared" si="135"/>
        <v>77781.345324770111</v>
      </c>
      <c r="W374" s="85">
        <f t="shared" si="135"/>
        <v>269346.12430180004</v>
      </c>
      <c r="X374" s="45">
        <f t="shared" si="136"/>
        <v>347127.46962657012</v>
      </c>
      <c r="Y374" s="45" t="s">
        <v>3223</v>
      </c>
      <c r="Z374" s="45" t="str">
        <f t="shared" si="137"/>
        <v>No</v>
      </c>
      <c r="AA374" s="45" t="str">
        <f t="shared" si="137"/>
        <v>No</v>
      </c>
      <c r="AB374" s="45" t="str">
        <f t="shared" si="138"/>
        <v>No</v>
      </c>
      <c r="AC374" s="86">
        <f t="shared" si="151"/>
        <v>0</v>
      </c>
      <c r="AD374" s="86">
        <f t="shared" si="152"/>
        <v>0</v>
      </c>
      <c r="AE374" s="45">
        <f t="shared" si="153"/>
        <v>0</v>
      </c>
      <c r="AF374" s="45">
        <f t="shared" si="153"/>
        <v>0</v>
      </c>
      <c r="AG374" s="45">
        <f t="shared" si="139"/>
        <v>0</v>
      </c>
      <c r="AH374" s="47">
        <f>IF(Y374="No",0,IFERROR(ROUNDDOWN(INDEX('90% of ACR'!K:K,MATCH(H:H,'90% of ACR'!A:A,0))*IF(I374&gt;0,IF(O374&gt;0,$R$4*MAX(O374-V374,0),0),0)/I374,2),0))</f>
        <v>0</v>
      </c>
      <c r="AI374" s="86">
        <f>IF(Y374="No",0,IFERROR(ROUNDDOWN(INDEX('90% of ACR'!R:R,MATCH(H:H,'90% of ACR'!A:A,0))*IF(J374&gt;0,IF(P374&gt;0,$R$4*MAX(P374-W374,0),0),0)/J374,2),0))</f>
        <v>0</v>
      </c>
      <c r="AJ374" s="45">
        <f t="shared" si="140"/>
        <v>0</v>
      </c>
      <c r="AK374" s="45">
        <f t="shared" si="140"/>
        <v>0</v>
      </c>
      <c r="AL374" s="47">
        <f t="shared" si="141"/>
        <v>0.12</v>
      </c>
      <c r="AM374" s="47">
        <f t="shared" si="141"/>
        <v>0.17</v>
      </c>
      <c r="AN374" s="87">
        <f>IFERROR(INDEX(FeeCalc!P:P,MATCH(C374,FeeCalc!F:F,0)),0)</f>
        <v>347127.46962657012</v>
      </c>
      <c r="AO374" s="87">
        <f>IFERROR(INDEX(FeeCalc!S:S,MATCH(C374,FeeCalc!F:F,0)),0)</f>
        <v>21360.33510786674</v>
      </c>
      <c r="AP374" s="87">
        <f t="shared" si="142"/>
        <v>368487.80473443685</v>
      </c>
      <c r="AQ374" s="72">
        <f t="shared" si="143"/>
        <v>156361.16715857308</v>
      </c>
      <c r="AR374" s="72">
        <f t="shared" si="144"/>
        <v>78180.58357928654</v>
      </c>
      <c r="AS374" s="72">
        <f t="shared" si="145"/>
        <v>78180.58357928654</v>
      </c>
      <c r="AT374" s="72">
        <f>IFERROR(IFERROR(INDEX('2023 IP UPL Data'!L:L,MATCH(A:A,'2023 IP UPL Data'!B:B,0)),INDEX('2023 IMD UPL Data'!I:I,MATCH(A:A,'2023 IMD UPL Data'!B:B,0))),0)</f>
        <v>685113.30982413958</v>
      </c>
      <c r="AU374" s="72">
        <f>IFERROR(IF(F372="IMD",0,INDEX('2023 OP UPL Data'!J:J,MATCH(A:A,'2023 OP UPL Data'!B:B,0))),0)</f>
        <v>795867.82271604915</v>
      </c>
      <c r="AV374" s="45">
        <f t="shared" si="146"/>
        <v>1480981.1325401887</v>
      </c>
      <c r="AW374" s="72">
        <f>IFERROR(IFERROR(INDEX('2023 IP UPL Data'!M:M,MATCH(A:A,'2023 IP UPL Data'!B:B,0)),INDEX('2023 IMD UPL Data'!K:K,MATCH(A:A,'2023 IMD UPL Data'!B:B,0))),0)</f>
        <v>860616.14</v>
      </c>
      <c r="AX374" s="72">
        <f>IFERROR(IF(F372="IMD",0,INDEX('2023 OP UPL Data'!L:L,MATCH(A:A,'2023 OP UPL Data'!B:B,0))),0)</f>
        <v>524776.82999999996</v>
      </c>
      <c r="AY374" s="45">
        <f t="shared" si="147"/>
        <v>1385392.97</v>
      </c>
      <c r="AZ374" s="72">
        <v>675494.96598697151</v>
      </c>
      <c r="BA374" s="72">
        <v>1001676.1082690175</v>
      </c>
      <c r="BB374" s="72">
        <f t="shared" si="148"/>
        <v>597713.62066220143</v>
      </c>
      <c r="BC374" s="72">
        <f t="shared" si="148"/>
        <v>732329.9839672175</v>
      </c>
      <c r="BD374" s="72">
        <f t="shared" si="149"/>
        <v>1330043.6046294188</v>
      </c>
      <c r="BE374" s="94">
        <f t="shared" si="150"/>
        <v>0</v>
      </c>
      <c r="BF374" s="94">
        <f t="shared" si="150"/>
        <v>476899.27826901758</v>
      </c>
      <c r="BG374" s="73">
        <f>IFERROR(INDEX('2023 IP UPL Data'!K:K,MATCH(A374,'2023 IP UPL Data'!B:B,0)),0)</f>
        <v>0</v>
      </c>
    </row>
    <row r="375" spans="1:59">
      <c r="A375" s="124" t="s">
        <v>795</v>
      </c>
      <c r="B375" s="149" t="s">
        <v>795</v>
      </c>
      <c r="C375" s="31" t="s">
        <v>796</v>
      </c>
      <c r="D375" s="181" t="s">
        <v>796</v>
      </c>
      <c r="E375" s="144" t="s">
        <v>3584</v>
      </c>
      <c r="F375" s="120" t="s">
        <v>2768</v>
      </c>
      <c r="G375" s="120" t="s">
        <v>1489</v>
      </c>
      <c r="H375" s="43" t="str">
        <f t="shared" si="130"/>
        <v>Rural MRSA Central</v>
      </c>
      <c r="I375" s="45">
        <f>INDEX(FeeCalc!M:M,MATCH(C:C,FeeCalc!F:F,0))</f>
        <v>30234.285376151041</v>
      </c>
      <c r="J375" s="45">
        <f>INDEX(FeeCalc!L:L,MATCH(C:C,FeeCalc!F:F,0))</f>
        <v>386059.49270816706</v>
      </c>
      <c r="K375" s="45">
        <f t="shared" si="131"/>
        <v>416293.7780843181</v>
      </c>
      <c r="L375" s="45">
        <f>IFERROR(IFERROR(INDEX('2023 IP UPL Data'!N:N,MATCH(A:A,'2023 IP UPL Data'!B:B,0)),INDEX('2023 IMD UPL Data'!M:M,MATCH(A:A,'2023 IMD UPL Data'!B:B,0))),0)</f>
        <v>-20758.908686327086</v>
      </c>
      <c r="M375" s="45">
        <f>IFERROR((IF(F375="IMD",0,INDEX('2023 OP UPL Data'!M:M,MATCH(A:A,'2023 OP UPL Data'!B:B,0)))),0)</f>
        <v>-13742.300794701965</v>
      </c>
      <c r="N375" s="45">
        <f t="shared" si="132"/>
        <v>-34501.209481029051</v>
      </c>
      <c r="O375" s="45">
        <v>-24959.59736099606</v>
      </c>
      <c r="P375" s="45">
        <v>66475.019586247596</v>
      </c>
      <c r="Q375" s="45">
        <f t="shared" si="133"/>
        <v>41515.422225251532</v>
      </c>
      <c r="R375" s="45" t="str">
        <f t="shared" si="134"/>
        <v>No</v>
      </c>
      <c r="S375" s="46" t="str">
        <f t="shared" si="134"/>
        <v>Yes</v>
      </c>
      <c r="T375" s="47">
        <f>ROUND(INDEX(Summary!H:H,MATCH(H:H,Summary!A:A,0)),2)</f>
        <v>0</v>
      </c>
      <c r="U375" s="47">
        <f>ROUND(INDEX(Summary!I:I,MATCH(H:H,Summary!A:A,0)),2)</f>
        <v>0.17</v>
      </c>
      <c r="V375" s="85">
        <f t="shared" si="135"/>
        <v>0</v>
      </c>
      <c r="W375" s="85">
        <f t="shared" si="135"/>
        <v>65630.113760388398</v>
      </c>
      <c r="X375" s="45">
        <f t="shared" si="136"/>
        <v>65630.113760388398</v>
      </c>
      <c r="Y375" s="45" t="s">
        <v>3223</v>
      </c>
      <c r="Z375" s="45" t="str">
        <f t="shared" si="137"/>
        <v>No</v>
      </c>
      <c r="AA375" s="45" t="str">
        <f t="shared" si="137"/>
        <v>No</v>
      </c>
      <c r="AB375" s="45" t="str">
        <f t="shared" si="138"/>
        <v>No</v>
      </c>
      <c r="AC375" s="86">
        <f t="shared" si="151"/>
        <v>0</v>
      </c>
      <c r="AD375" s="86">
        <f t="shared" si="152"/>
        <v>0</v>
      </c>
      <c r="AE375" s="45">
        <f t="shared" si="153"/>
        <v>0</v>
      </c>
      <c r="AF375" s="45">
        <f t="shared" si="153"/>
        <v>0</v>
      </c>
      <c r="AG375" s="45">
        <f t="shared" si="139"/>
        <v>0</v>
      </c>
      <c r="AH375" s="47">
        <f>IF(Y375="No",0,IFERROR(ROUNDDOWN(INDEX('90% of ACR'!K:K,MATCH(H:H,'90% of ACR'!A:A,0))*IF(I375&gt;0,IF(O375&gt;0,$R$4*MAX(O375-V375,0),0),0)/I375,2),0))</f>
        <v>0</v>
      </c>
      <c r="AI375" s="86">
        <f>IF(Y375="No",0,IFERROR(ROUNDDOWN(INDEX('90% of ACR'!R:R,MATCH(H:H,'90% of ACR'!A:A,0))*IF(J375&gt;0,IF(P375&gt;0,$R$4*MAX(P375-W375,0),0),0)/J375,2),0))</f>
        <v>0</v>
      </c>
      <c r="AJ375" s="45">
        <f t="shared" si="140"/>
        <v>0</v>
      </c>
      <c r="AK375" s="45">
        <f t="shared" si="140"/>
        <v>0</v>
      </c>
      <c r="AL375" s="47">
        <f t="shared" si="141"/>
        <v>0</v>
      </c>
      <c r="AM375" s="47">
        <f t="shared" si="141"/>
        <v>0.17</v>
      </c>
      <c r="AN375" s="87">
        <f>IFERROR(INDEX(FeeCalc!P:P,MATCH(C375,FeeCalc!F:F,0)),0)</f>
        <v>65630.113760388398</v>
      </c>
      <c r="AO375" s="87">
        <f>IFERROR(INDEX(FeeCalc!S:S,MATCH(C375,FeeCalc!F:F,0)),0)</f>
        <v>4054.7115762023241</v>
      </c>
      <c r="AP375" s="87">
        <f t="shared" si="142"/>
        <v>69684.825336590729</v>
      </c>
      <c r="AQ375" s="72">
        <f t="shared" si="143"/>
        <v>29569.501304726222</v>
      </c>
      <c r="AR375" s="72">
        <f t="shared" si="144"/>
        <v>14784.750652363111</v>
      </c>
      <c r="AS375" s="72">
        <f t="shared" si="145"/>
        <v>14784.750652363111</v>
      </c>
      <c r="AT375" s="72">
        <f>IFERROR(IFERROR(INDEX('2023 IP UPL Data'!L:L,MATCH(A:A,'2023 IP UPL Data'!B:B,0)),INDEX('2023 IMD UPL Data'!I:I,MATCH(A:A,'2023 IMD UPL Data'!B:B,0))),0)</f>
        <v>42669.988686327088</v>
      </c>
      <c r="AU375" s="72">
        <f>IFERROR(IF(F373="IMD",0,INDEX('2023 OP UPL Data'!J:J,MATCH(A:A,'2023 OP UPL Data'!B:B,0))),0)</f>
        <v>167457.00079470198</v>
      </c>
      <c r="AV375" s="45">
        <f t="shared" si="146"/>
        <v>210126.98948102907</v>
      </c>
      <c r="AW375" s="72">
        <f>IFERROR(IFERROR(INDEX('2023 IP UPL Data'!M:M,MATCH(A:A,'2023 IP UPL Data'!B:B,0)),INDEX('2023 IMD UPL Data'!K:K,MATCH(A:A,'2023 IMD UPL Data'!B:B,0))),0)</f>
        <v>21911.08</v>
      </c>
      <c r="AX375" s="72">
        <f>IFERROR(IF(F373="IMD",0,INDEX('2023 OP UPL Data'!L:L,MATCH(A:A,'2023 OP UPL Data'!B:B,0))),0)</f>
        <v>153714.70000000001</v>
      </c>
      <c r="AY375" s="45">
        <f t="shared" si="147"/>
        <v>175625.78000000003</v>
      </c>
      <c r="AZ375" s="72">
        <v>17710.391325331027</v>
      </c>
      <c r="BA375" s="72">
        <v>233932.02038094957</v>
      </c>
      <c r="BB375" s="72">
        <f t="shared" si="148"/>
        <v>17710.391325331027</v>
      </c>
      <c r="BC375" s="72">
        <f t="shared" si="148"/>
        <v>168301.90662056117</v>
      </c>
      <c r="BD375" s="72">
        <f t="shared" si="149"/>
        <v>186012.29794589221</v>
      </c>
      <c r="BE375" s="94">
        <f t="shared" si="150"/>
        <v>0</v>
      </c>
      <c r="BF375" s="94">
        <f t="shared" si="150"/>
        <v>80217.320380949561</v>
      </c>
      <c r="BG375" s="73">
        <f>IFERROR(INDEX('2023 IP UPL Data'!K:K,MATCH(A375,'2023 IP UPL Data'!B:B,0)),0)</f>
        <v>0</v>
      </c>
    </row>
    <row r="376" spans="1:59">
      <c r="A376" s="124" t="s">
        <v>237</v>
      </c>
      <c r="B376" s="149" t="s">
        <v>237</v>
      </c>
      <c r="C376" s="31" t="s">
        <v>238</v>
      </c>
      <c r="D376" s="181" t="s">
        <v>238</v>
      </c>
      <c r="E376" s="144" t="s">
        <v>2164</v>
      </c>
      <c r="F376" s="120" t="s">
        <v>2718</v>
      </c>
      <c r="G376" s="120" t="s">
        <v>1530</v>
      </c>
      <c r="H376" s="43" t="str">
        <f t="shared" si="130"/>
        <v>Urban Lubbock</v>
      </c>
      <c r="I376" s="45">
        <f>INDEX(FeeCalc!M:M,MATCH(C:C,FeeCalc!F:F,0))</f>
        <v>130993.98762874865</v>
      </c>
      <c r="J376" s="45">
        <f>INDEX(FeeCalc!L:L,MATCH(C:C,FeeCalc!F:F,0))</f>
        <v>152839.44033787417</v>
      </c>
      <c r="K376" s="45">
        <f t="shared" si="131"/>
        <v>283833.42796662281</v>
      </c>
      <c r="L376" s="45">
        <f>IFERROR(IFERROR(INDEX('2023 IP UPL Data'!N:N,MATCH(A:A,'2023 IP UPL Data'!B:B,0)),INDEX('2023 IMD UPL Data'!M:M,MATCH(A:A,'2023 IMD UPL Data'!B:B,0))),0)</f>
        <v>125518.04375000003</v>
      </c>
      <c r="M376" s="45">
        <f>IFERROR((IF(F376="IMD",0,INDEX('2023 OP UPL Data'!M:M,MATCH(A:A,'2023 OP UPL Data'!B:B,0)))),0)</f>
        <v>588867.17625000002</v>
      </c>
      <c r="N376" s="45">
        <f t="shared" si="132"/>
        <v>714385.22000000009</v>
      </c>
      <c r="O376" s="45">
        <v>189696.81381568388</v>
      </c>
      <c r="P376" s="45">
        <v>527240.7343234315</v>
      </c>
      <c r="Q376" s="45">
        <f t="shared" si="133"/>
        <v>716937.54813911533</v>
      </c>
      <c r="R376" s="45" t="str">
        <f t="shared" si="134"/>
        <v>Yes</v>
      </c>
      <c r="S376" s="46" t="str">
        <f t="shared" si="134"/>
        <v>Yes</v>
      </c>
      <c r="T376" s="47">
        <f>ROUND(INDEX(Summary!H:H,MATCH(H:H,Summary!A:A,0)),2)</f>
        <v>0</v>
      </c>
      <c r="U376" s="47">
        <f>ROUND(INDEX(Summary!I:I,MATCH(H:H,Summary!A:A,0)),2)</f>
        <v>0.96</v>
      </c>
      <c r="V376" s="85">
        <f t="shared" si="135"/>
        <v>0</v>
      </c>
      <c r="W376" s="85">
        <f t="shared" si="135"/>
        <v>146725.86272435921</v>
      </c>
      <c r="X376" s="45">
        <f t="shared" si="136"/>
        <v>146725.86272435921</v>
      </c>
      <c r="Y376" s="45" t="s">
        <v>3223</v>
      </c>
      <c r="Z376" s="45" t="str">
        <f t="shared" si="137"/>
        <v>Yes</v>
      </c>
      <c r="AA376" s="45" t="str">
        <f t="shared" si="137"/>
        <v>Yes</v>
      </c>
      <c r="AB376" s="45" t="str">
        <f t="shared" si="138"/>
        <v>Yes</v>
      </c>
      <c r="AC376" s="86">
        <f t="shared" si="151"/>
        <v>1.01</v>
      </c>
      <c r="AD376" s="86">
        <f t="shared" si="152"/>
        <v>1.73</v>
      </c>
      <c r="AE376" s="45">
        <f t="shared" si="153"/>
        <v>132303.92750503615</v>
      </c>
      <c r="AF376" s="45">
        <f t="shared" si="153"/>
        <v>264412.2317845223</v>
      </c>
      <c r="AG376" s="45">
        <f t="shared" si="139"/>
        <v>396716.15928955842</v>
      </c>
      <c r="AH376" s="47">
        <f>IF(Y376="No",0,IFERROR(ROUNDDOWN(INDEX('90% of ACR'!K:K,MATCH(H:H,'90% of ACR'!A:A,0))*IF(I376&gt;0,IF(O376&gt;0,$R$4*MAX(O376-V376,0),0),0)/I376,2),0))</f>
        <v>0.22</v>
      </c>
      <c r="AI376" s="86">
        <f>IF(Y376="No",0,IFERROR(ROUNDDOWN(INDEX('90% of ACR'!R:R,MATCH(H:H,'90% of ACR'!A:A,0))*IF(J376&gt;0,IF(P376&gt;0,$R$4*MAX(P376-W376,0),0),0)/J376,2),0))</f>
        <v>1.71</v>
      </c>
      <c r="AJ376" s="45">
        <f t="shared" si="140"/>
        <v>28818.677278324703</v>
      </c>
      <c r="AK376" s="45">
        <f t="shared" si="140"/>
        <v>261355.44297776482</v>
      </c>
      <c r="AL376" s="47">
        <f t="shared" si="141"/>
        <v>0.22</v>
      </c>
      <c r="AM376" s="47">
        <f t="shared" si="141"/>
        <v>2.67</v>
      </c>
      <c r="AN376" s="87">
        <f>IFERROR(INDEX(FeeCalc!P:P,MATCH(C376,FeeCalc!F:F,0)),0)</f>
        <v>436899.98298044875</v>
      </c>
      <c r="AO376" s="87">
        <f>IFERROR(INDEX(FeeCalc!S:S,MATCH(C376,FeeCalc!F:F,0)),0)</f>
        <v>27240.494735754088</v>
      </c>
      <c r="AP376" s="87">
        <f t="shared" si="142"/>
        <v>464140.47771620285</v>
      </c>
      <c r="AQ376" s="72">
        <f t="shared" si="143"/>
        <v>196949.6571902718</v>
      </c>
      <c r="AR376" s="72">
        <f t="shared" si="144"/>
        <v>98474.828595135899</v>
      </c>
      <c r="AS376" s="72">
        <f t="shared" si="145"/>
        <v>98474.828595135899</v>
      </c>
      <c r="AT376" s="72">
        <f>IFERROR(IFERROR(INDEX('2023 IP UPL Data'!L:L,MATCH(A:A,'2023 IP UPL Data'!B:B,0)),INDEX('2023 IMD UPL Data'!I:I,MATCH(A:A,'2023 IMD UPL Data'!B:B,0))),0)</f>
        <v>119145.10624999997</v>
      </c>
      <c r="AU376" s="72">
        <f>IFERROR(IF(F374="IMD",0,INDEX('2023 OP UPL Data'!J:J,MATCH(A:A,'2023 OP UPL Data'!B:B,0))),0)</f>
        <v>38918.09375</v>
      </c>
      <c r="AV376" s="45">
        <f t="shared" si="146"/>
        <v>158063.19999999995</v>
      </c>
      <c r="AW376" s="72">
        <f>IFERROR(IFERROR(INDEX('2023 IP UPL Data'!M:M,MATCH(A:A,'2023 IP UPL Data'!B:B,0)),INDEX('2023 IMD UPL Data'!K:K,MATCH(A:A,'2023 IMD UPL Data'!B:B,0))),0)</f>
        <v>244663.15</v>
      </c>
      <c r="AX376" s="72">
        <f>IFERROR(IF(F374="IMD",0,INDEX('2023 OP UPL Data'!L:L,MATCH(A:A,'2023 OP UPL Data'!B:B,0))),0)</f>
        <v>627785.27</v>
      </c>
      <c r="AY376" s="45">
        <f t="shared" si="147"/>
        <v>872448.42</v>
      </c>
      <c r="AZ376" s="72">
        <v>308841.92006568384</v>
      </c>
      <c r="BA376" s="72">
        <v>566158.8280734315</v>
      </c>
      <c r="BB376" s="72">
        <f t="shared" si="148"/>
        <v>308841.92006568384</v>
      </c>
      <c r="BC376" s="72">
        <f t="shared" si="148"/>
        <v>419432.9653490723</v>
      </c>
      <c r="BD376" s="72">
        <f t="shared" si="149"/>
        <v>728274.88541475614</v>
      </c>
      <c r="BE376" s="94">
        <f t="shared" si="150"/>
        <v>64178.770065683842</v>
      </c>
      <c r="BF376" s="94">
        <f t="shared" si="150"/>
        <v>0</v>
      </c>
      <c r="BG376" s="73">
        <f>IFERROR(INDEX('2023 IP UPL Data'!K:K,MATCH(A376,'2023 IP UPL Data'!B:B,0)),0)</f>
        <v>0</v>
      </c>
    </row>
    <row r="377" spans="1:59">
      <c r="A377" s="124" t="s">
        <v>1140</v>
      </c>
      <c r="B377" s="149" t="s">
        <v>1140</v>
      </c>
      <c r="C377" s="31" t="s">
        <v>1141</v>
      </c>
      <c r="D377" s="181" t="s">
        <v>1141</v>
      </c>
      <c r="E377" s="144" t="s">
        <v>3357</v>
      </c>
      <c r="F377" s="120" t="s">
        <v>2768</v>
      </c>
      <c r="G377" s="120" t="s">
        <v>227</v>
      </c>
      <c r="H377" s="43" t="str">
        <f t="shared" si="130"/>
        <v>Rural MRSA West</v>
      </c>
      <c r="I377" s="45">
        <f>INDEX(FeeCalc!M:M,MATCH(C:C,FeeCalc!F:F,0))</f>
        <v>5277.4738724075833</v>
      </c>
      <c r="J377" s="45">
        <f>INDEX(FeeCalc!L:L,MATCH(C:C,FeeCalc!F:F,0))</f>
        <v>35137.35833528122</v>
      </c>
      <c r="K377" s="45">
        <f t="shared" si="131"/>
        <v>40414.8322076888</v>
      </c>
      <c r="L377" s="45">
        <f>IFERROR(IFERROR(INDEX('2023 IP UPL Data'!N:N,MATCH(A:A,'2023 IP UPL Data'!B:B,0)),INDEX('2023 IMD UPL Data'!M:M,MATCH(A:A,'2023 IMD UPL Data'!B:B,0))),0)</f>
        <v>0</v>
      </c>
      <c r="M377" s="45">
        <f>IFERROR((IF(F377="IMD",0,INDEX('2023 OP UPL Data'!M:M,MATCH(A:A,'2023 OP UPL Data'!B:B,0)))),0)</f>
        <v>27517.398000000001</v>
      </c>
      <c r="N377" s="45">
        <f t="shared" si="132"/>
        <v>27517.398000000001</v>
      </c>
      <c r="O377" s="45">
        <v>0</v>
      </c>
      <c r="P377" s="45">
        <v>22192.738185322189</v>
      </c>
      <c r="Q377" s="45">
        <f t="shared" si="133"/>
        <v>22192.738185322189</v>
      </c>
      <c r="R377" s="45" t="str">
        <f t="shared" si="134"/>
        <v>No</v>
      </c>
      <c r="S377" s="46" t="str">
        <f t="shared" si="134"/>
        <v>Yes</v>
      </c>
      <c r="T377" s="47">
        <f>ROUND(INDEX(Summary!H:H,MATCH(H:H,Summary!A:A,0)),2)</f>
        <v>0</v>
      </c>
      <c r="U377" s="47">
        <f>ROUND(INDEX(Summary!I:I,MATCH(H:H,Summary!A:A,0)),2)</f>
        <v>0.28999999999999998</v>
      </c>
      <c r="V377" s="85">
        <f t="shared" si="135"/>
        <v>0</v>
      </c>
      <c r="W377" s="85">
        <f t="shared" si="135"/>
        <v>10189.833917231554</v>
      </c>
      <c r="X377" s="45">
        <f t="shared" si="136"/>
        <v>10189.833917231554</v>
      </c>
      <c r="Y377" s="45" t="s">
        <v>3224</v>
      </c>
      <c r="Z377" s="45" t="str">
        <f t="shared" si="137"/>
        <v>No</v>
      </c>
      <c r="AA377" s="45" t="str">
        <f t="shared" si="137"/>
        <v>No</v>
      </c>
      <c r="AB377" s="45" t="str">
        <f t="shared" si="138"/>
        <v>No</v>
      </c>
      <c r="AC377" s="86">
        <f t="shared" si="151"/>
        <v>0</v>
      </c>
      <c r="AD377" s="86">
        <f t="shared" si="152"/>
        <v>0</v>
      </c>
      <c r="AE377" s="45">
        <f t="shared" si="153"/>
        <v>0</v>
      </c>
      <c r="AF377" s="45">
        <f t="shared" si="153"/>
        <v>0</v>
      </c>
      <c r="AG377" s="45">
        <f t="shared" si="139"/>
        <v>0</v>
      </c>
      <c r="AH377" s="47">
        <f>IF(Y377="No",0,IFERROR(ROUNDDOWN(INDEX('90% of ACR'!K:K,MATCH(H:H,'90% of ACR'!A:A,0))*IF(I377&gt;0,IF(O377&gt;0,$R$4*MAX(O377-V377,0),0),0)/I377,2),0))</f>
        <v>0</v>
      </c>
      <c r="AI377" s="86">
        <f>IF(Y377="No",0,IFERROR(ROUNDDOWN(INDEX('90% of ACR'!R:R,MATCH(H:H,'90% of ACR'!A:A,0))*IF(J377&gt;0,IF(P377&gt;0,$R$4*MAX(P377-W377,0),0),0)/J377,2),0))</f>
        <v>0</v>
      </c>
      <c r="AJ377" s="45">
        <f t="shared" si="140"/>
        <v>0</v>
      </c>
      <c r="AK377" s="45">
        <f t="shared" si="140"/>
        <v>0</v>
      </c>
      <c r="AL377" s="47">
        <f t="shared" si="141"/>
        <v>0</v>
      </c>
      <c r="AM377" s="47">
        <f t="shared" si="141"/>
        <v>0.28999999999999998</v>
      </c>
      <c r="AN377" s="87">
        <f>IFERROR(INDEX(FeeCalc!P:P,MATCH(C377,FeeCalc!F:F,0)),0)</f>
        <v>10189.833917231554</v>
      </c>
      <c r="AO377" s="87">
        <f>IFERROR(INDEX(FeeCalc!S:S,MATCH(C377,FeeCalc!F:F,0)),0)</f>
        <v>626.20056200568092</v>
      </c>
      <c r="AP377" s="87">
        <f t="shared" si="142"/>
        <v>10816.034479237234</v>
      </c>
      <c r="AQ377" s="72">
        <f t="shared" si="143"/>
        <v>4589.5895426436946</v>
      </c>
      <c r="AR377" s="72">
        <f t="shared" si="144"/>
        <v>2294.7947713218473</v>
      </c>
      <c r="AS377" s="72">
        <f t="shared" si="145"/>
        <v>2294.7947713218473</v>
      </c>
      <c r="AT377" s="72">
        <f>IFERROR(IFERROR(INDEX('2023 IP UPL Data'!L:L,MATCH(A:A,'2023 IP UPL Data'!B:B,0)),INDEX('2023 IMD UPL Data'!I:I,MATCH(A:A,'2023 IMD UPL Data'!B:B,0))),0)</f>
        <v>0</v>
      </c>
      <c r="AU377" s="72">
        <f>IFERROR(IF(F375="IMD",0,INDEX('2023 OP UPL Data'!J:J,MATCH(A:A,'2023 OP UPL Data'!B:B,0))),0)</f>
        <v>12497.201999999997</v>
      </c>
      <c r="AV377" s="45">
        <f t="shared" si="146"/>
        <v>12497.201999999997</v>
      </c>
      <c r="AW377" s="72">
        <f>IFERROR(IFERROR(INDEX('2023 IP UPL Data'!M:M,MATCH(A:A,'2023 IP UPL Data'!B:B,0)),INDEX('2023 IMD UPL Data'!K:K,MATCH(A:A,'2023 IMD UPL Data'!B:B,0))),0)</f>
        <v>0</v>
      </c>
      <c r="AX377" s="72">
        <f>IFERROR(IF(F375="IMD",0,INDEX('2023 OP UPL Data'!L:L,MATCH(A:A,'2023 OP UPL Data'!B:B,0))),0)</f>
        <v>40014.6</v>
      </c>
      <c r="AY377" s="45">
        <f t="shared" si="147"/>
        <v>40014.6</v>
      </c>
      <c r="AZ377" s="72">
        <v>0</v>
      </c>
      <c r="BA377" s="72">
        <v>34689.940185322186</v>
      </c>
      <c r="BB377" s="72">
        <f t="shared" si="148"/>
        <v>0</v>
      </c>
      <c r="BC377" s="72">
        <f t="shared" si="148"/>
        <v>24500.106268090633</v>
      </c>
      <c r="BD377" s="72">
        <f t="shared" si="149"/>
        <v>24500.106268090633</v>
      </c>
      <c r="BE377" s="94">
        <f t="shared" si="150"/>
        <v>0</v>
      </c>
      <c r="BF377" s="94">
        <f t="shared" si="150"/>
        <v>0</v>
      </c>
      <c r="BG377" s="73">
        <f>IFERROR(INDEX('2023 IP UPL Data'!K:K,MATCH(A377,'2023 IP UPL Data'!B:B,0)),0)</f>
        <v>0</v>
      </c>
    </row>
    <row r="378" spans="1:59">
      <c r="A378" s="124" t="s">
        <v>3288</v>
      </c>
      <c r="B378" s="149" t="s">
        <v>707</v>
      </c>
      <c r="C378" s="31" t="s">
        <v>708</v>
      </c>
      <c r="D378" s="181" t="s">
        <v>708</v>
      </c>
      <c r="E378" s="144" t="s">
        <v>3109</v>
      </c>
      <c r="F378" s="120" t="s">
        <v>2768</v>
      </c>
      <c r="G378" s="120" t="s">
        <v>1489</v>
      </c>
      <c r="H378" s="43" t="str">
        <f t="shared" si="130"/>
        <v>Rural MRSA Central</v>
      </c>
      <c r="I378" s="45">
        <f>INDEX(FeeCalc!M:M,MATCH(C:C,FeeCalc!F:F,0))</f>
        <v>44150.030910780879</v>
      </c>
      <c r="J378" s="45">
        <f>INDEX(FeeCalc!L:L,MATCH(C:C,FeeCalc!F:F,0))</f>
        <v>680512.52143751236</v>
      </c>
      <c r="K378" s="45">
        <f t="shared" si="131"/>
        <v>724662.55234829325</v>
      </c>
      <c r="L378" s="45">
        <f>IFERROR(IFERROR(INDEX('2023 IP UPL Data'!N:N,MATCH(A:A,'2023 IP UPL Data'!B:B,0)),INDEX('2023 IMD UPL Data'!M:M,MATCH(A:A,'2023 IMD UPL Data'!B:B,0))),0)</f>
        <v>64735.516618493653</v>
      </c>
      <c r="M378" s="45">
        <f>IFERROR((IF(F378="IMD",0,INDEX('2023 OP UPL Data'!M:M,MATCH(A:A,'2023 OP UPL Data'!B:B,0)))),0)</f>
        <v>258608.65821192053</v>
      </c>
      <c r="N378" s="45">
        <f t="shared" si="132"/>
        <v>323344.17483041418</v>
      </c>
      <c r="O378" s="45">
        <v>26069.135645939357</v>
      </c>
      <c r="P378" s="45">
        <v>462004.47540779272</v>
      </c>
      <c r="Q378" s="45">
        <f t="shared" si="133"/>
        <v>488073.61105373211</v>
      </c>
      <c r="R378" s="45" t="str">
        <f t="shared" si="134"/>
        <v>Yes</v>
      </c>
      <c r="S378" s="46" t="str">
        <f t="shared" si="134"/>
        <v>Yes</v>
      </c>
      <c r="T378" s="47">
        <f>ROUND(INDEX(Summary!H:H,MATCH(H:H,Summary!A:A,0)),2)</f>
        <v>0</v>
      </c>
      <c r="U378" s="47">
        <f>ROUND(INDEX(Summary!I:I,MATCH(H:H,Summary!A:A,0)),2)</f>
        <v>0.17</v>
      </c>
      <c r="V378" s="85">
        <f t="shared" si="135"/>
        <v>0</v>
      </c>
      <c r="W378" s="85">
        <f t="shared" si="135"/>
        <v>115687.12864437711</v>
      </c>
      <c r="X378" s="45">
        <f t="shared" si="136"/>
        <v>115687.12864437711</v>
      </c>
      <c r="Y378" s="45" t="s">
        <v>3223</v>
      </c>
      <c r="Z378" s="45" t="str">
        <f t="shared" si="137"/>
        <v>No</v>
      </c>
      <c r="AA378" s="45" t="str">
        <f t="shared" si="137"/>
        <v>Yes</v>
      </c>
      <c r="AB378" s="45" t="str">
        <f t="shared" si="138"/>
        <v>Yes</v>
      </c>
      <c r="AC378" s="86">
        <f t="shared" si="151"/>
        <v>0.41</v>
      </c>
      <c r="AD378" s="86">
        <f t="shared" si="152"/>
        <v>0.35</v>
      </c>
      <c r="AE378" s="45">
        <f t="shared" si="153"/>
        <v>18101.512673420159</v>
      </c>
      <c r="AF378" s="45">
        <f t="shared" si="153"/>
        <v>238179.38250312931</v>
      </c>
      <c r="AG378" s="45">
        <f t="shared" si="139"/>
        <v>256280.89517654947</v>
      </c>
      <c r="AH378" s="47">
        <f>IF(Y378="No",0,IFERROR(ROUNDDOWN(INDEX('90% of ACR'!K:K,MATCH(H:H,'90% of ACR'!A:A,0))*IF(I378&gt;0,IF(O378&gt;0,$R$4*MAX(O378-V378,0),0),0)/I378,2),0))</f>
        <v>0</v>
      </c>
      <c r="AI378" s="86">
        <f>IF(Y378="No",0,IFERROR(ROUNDDOWN(INDEX('90% of ACR'!R:R,MATCH(H:H,'90% of ACR'!A:A,0))*IF(J378&gt;0,IF(P378&gt;0,$R$4*MAX(P378-W378,0),0),0)/J378,2),0))</f>
        <v>0.35</v>
      </c>
      <c r="AJ378" s="45">
        <f t="shared" si="140"/>
        <v>0</v>
      </c>
      <c r="AK378" s="45">
        <f t="shared" si="140"/>
        <v>238179.38250312931</v>
      </c>
      <c r="AL378" s="47">
        <f t="shared" si="141"/>
        <v>0</v>
      </c>
      <c r="AM378" s="47">
        <f t="shared" si="141"/>
        <v>0.52</v>
      </c>
      <c r="AN378" s="87">
        <f>IFERROR(INDEX(FeeCalc!P:P,MATCH(C378,FeeCalc!F:F,0)),0)</f>
        <v>353866.51114750642</v>
      </c>
      <c r="AO378" s="87">
        <f>IFERROR(INDEX(FeeCalc!S:S,MATCH(C378,FeeCalc!F:F,0)),0)</f>
        <v>21962.535996049031</v>
      </c>
      <c r="AP378" s="87">
        <f t="shared" si="142"/>
        <v>375829.04714355548</v>
      </c>
      <c r="AQ378" s="72">
        <f t="shared" si="143"/>
        <v>159476.2912325192</v>
      </c>
      <c r="AR378" s="72">
        <f t="shared" si="144"/>
        <v>79738.145616259601</v>
      </c>
      <c r="AS378" s="72">
        <f t="shared" si="145"/>
        <v>79738.145616259601</v>
      </c>
      <c r="AT378" s="72">
        <f>IFERROR(IFERROR(INDEX('2023 IP UPL Data'!L:L,MATCH(A:A,'2023 IP UPL Data'!B:B,0)),INDEX('2023 IMD UPL Data'!I:I,MATCH(A:A,'2023 IMD UPL Data'!B:B,0))),0)</f>
        <v>37953.553381506354</v>
      </c>
      <c r="AU378" s="72">
        <f>IFERROR(IF(F376="IMD",0,INDEX('2023 OP UPL Data'!J:J,MATCH(A:A,'2023 OP UPL Data'!B:B,0))),0)</f>
        <v>283103.03178807942</v>
      </c>
      <c r="AV378" s="45">
        <f t="shared" si="146"/>
        <v>321056.58516958577</v>
      </c>
      <c r="AW378" s="72">
        <f>IFERROR(IFERROR(INDEX('2023 IP UPL Data'!M:M,MATCH(A:A,'2023 IP UPL Data'!B:B,0)),INDEX('2023 IMD UPL Data'!K:K,MATCH(A:A,'2023 IMD UPL Data'!B:B,0))),0)</f>
        <v>102689.07</v>
      </c>
      <c r="AX378" s="72">
        <f>IFERROR(IF(F376="IMD",0,INDEX('2023 OP UPL Data'!L:L,MATCH(A:A,'2023 OP UPL Data'!B:B,0))),0)</f>
        <v>541711.68999999994</v>
      </c>
      <c r="AY378" s="45">
        <f t="shared" si="147"/>
        <v>644400.76</v>
      </c>
      <c r="AZ378" s="72">
        <v>64022.689027445711</v>
      </c>
      <c r="BA378" s="72">
        <v>745107.50719587214</v>
      </c>
      <c r="BB378" s="72">
        <f t="shared" si="148"/>
        <v>64022.689027445711</v>
      </c>
      <c r="BC378" s="72">
        <f t="shared" si="148"/>
        <v>629420.37855149503</v>
      </c>
      <c r="BD378" s="72">
        <f t="shared" si="149"/>
        <v>693443.06757894077</v>
      </c>
      <c r="BE378" s="94">
        <f t="shared" si="150"/>
        <v>0</v>
      </c>
      <c r="BF378" s="94">
        <f t="shared" si="150"/>
        <v>203395.81719587219</v>
      </c>
      <c r="BG378" s="73">
        <f>IFERROR(INDEX('2023 IP UPL Data'!K:K,MATCH(A378,'2023 IP UPL Data'!B:B,0)),0)</f>
        <v>0</v>
      </c>
    </row>
    <row r="379" spans="1:59">
      <c r="A379" s="124" t="s">
        <v>1337</v>
      </c>
      <c r="B379" s="149" t="s">
        <v>1337</v>
      </c>
      <c r="C379" s="31" t="s">
        <v>1338</v>
      </c>
      <c r="D379" s="181" t="s">
        <v>1338</v>
      </c>
      <c r="E379" s="144" t="s">
        <v>3364</v>
      </c>
      <c r="F379" s="120" t="s">
        <v>2768</v>
      </c>
      <c r="G379" s="120" t="s">
        <v>310</v>
      </c>
      <c r="H379" s="43" t="str">
        <f t="shared" si="130"/>
        <v>Rural MRSA Northeast</v>
      </c>
      <c r="I379" s="45">
        <f>INDEX(FeeCalc!M:M,MATCH(C:C,FeeCalc!F:F,0))</f>
        <v>4854927.5906856712</v>
      </c>
      <c r="J379" s="45">
        <f>INDEX(FeeCalc!L:L,MATCH(C:C,FeeCalc!F:F,0))</f>
        <v>2290791.6650561159</v>
      </c>
      <c r="K379" s="45">
        <f t="shared" si="131"/>
        <v>7145719.2557417871</v>
      </c>
      <c r="L379" s="45">
        <f>IFERROR(IFERROR(INDEX('2023 IP UPL Data'!N:N,MATCH(A:A,'2023 IP UPL Data'!B:B,0)),INDEX('2023 IMD UPL Data'!M:M,MATCH(A:A,'2023 IMD UPL Data'!B:B,0))),0)</f>
        <v>282062.82697058842</v>
      </c>
      <c r="M379" s="45">
        <f>IFERROR((IF(F379="IMD",0,INDEX('2023 OP UPL Data'!M:M,MATCH(A:A,'2023 OP UPL Data'!B:B,0)))),0)</f>
        <v>2310666.6897484278</v>
      </c>
      <c r="N379" s="45">
        <f t="shared" si="132"/>
        <v>2592729.5167190162</v>
      </c>
      <c r="O379" s="45">
        <v>2137850.0948180193</v>
      </c>
      <c r="P379" s="45">
        <v>3335969.4642873928</v>
      </c>
      <c r="Q379" s="45">
        <f t="shared" si="133"/>
        <v>5473819.5591054121</v>
      </c>
      <c r="R379" s="45" t="str">
        <f t="shared" si="134"/>
        <v>Yes</v>
      </c>
      <c r="S379" s="46" t="str">
        <f t="shared" si="134"/>
        <v>Yes</v>
      </c>
      <c r="T379" s="47">
        <f>ROUND(INDEX(Summary!H:H,MATCH(H:H,Summary!A:A,0)),2)</f>
        <v>0.16</v>
      </c>
      <c r="U379" s="47">
        <f>ROUND(INDEX(Summary!I:I,MATCH(H:H,Summary!A:A,0)),2)</f>
        <v>0.42</v>
      </c>
      <c r="V379" s="85">
        <f t="shared" si="135"/>
        <v>776788.41450970736</v>
      </c>
      <c r="W379" s="85">
        <f t="shared" si="135"/>
        <v>962132.49932356866</v>
      </c>
      <c r="X379" s="45">
        <f t="shared" si="136"/>
        <v>1738920.9138332759</v>
      </c>
      <c r="Y379" s="45" t="s">
        <v>3223</v>
      </c>
      <c r="Z379" s="45" t="str">
        <f t="shared" si="137"/>
        <v>Yes</v>
      </c>
      <c r="AA379" s="45" t="str">
        <f t="shared" si="137"/>
        <v>Yes</v>
      </c>
      <c r="AB379" s="45" t="str">
        <f t="shared" si="138"/>
        <v>Yes</v>
      </c>
      <c r="AC379" s="86">
        <f t="shared" si="151"/>
        <v>0.2</v>
      </c>
      <c r="AD379" s="86">
        <f t="shared" si="152"/>
        <v>0.72</v>
      </c>
      <c r="AE379" s="45">
        <f t="shared" si="153"/>
        <v>970985.51813713426</v>
      </c>
      <c r="AF379" s="45">
        <f t="shared" si="153"/>
        <v>1649369.9988404035</v>
      </c>
      <c r="AG379" s="45">
        <f t="shared" si="139"/>
        <v>2620355.5169775379</v>
      </c>
      <c r="AH379" s="47">
        <f>IF(Y379="No",0,IFERROR(ROUNDDOWN(INDEX('90% of ACR'!K:K,MATCH(H:H,'90% of ACR'!A:A,0))*IF(I379&gt;0,IF(O379&gt;0,$R$4*MAX(O379-V379,0),0),0)/I379,2),0))</f>
        <v>0.09</v>
      </c>
      <c r="AI379" s="86">
        <f>IF(Y379="No",0,IFERROR(ROUNDDOWN(INDEX('90% of ACR'!R:R,MATCH(H:H,'90% of ACR'!A:A,0))*IF(J379&gt;0,IF(P379&gt;0,$R$4*MAX(P379-W379,0),0),0)/J379,2),0))</f>
        <v>0.72</v>
      </c>
      <c r="AJ379" s="45">
        <f t="shared" si="140"/>
        <v>436943.48316171038</v>
      </c>
      <c r="AK379" s="45">
        <f t="shared" si="140"/>
        <v>1649369.9988404035</v>
      </c>
      <c r="AL379" s="47">
        <f t="shared" si="141"/>
        <v>0.25</v>
      </c>
      <c r="AM379" s="47">
        <f t="shared" si="141"/>
        <v>1.1399999999999999</v>
      </c>
      <c r="AN379" s="87">
        <f>IFERROR(INDEX(FeeCalc!P:P,MATCH(C379,FeeCalc!F:F,0)),0)</f>
        <v>3825234.3958353898</v>
      </c>
      <c r="AO379" s="87">
        <f>IFERROR(INDEX(FeeCalc!S:S,MATCH(C379,FeeCalc!F:F,0)),0)</f>
        <v>237264.01546202821</v>
      </c>
      <c r="AP379" s="87">
        <f t="shared" si="142"/>
        <v>4062498.4112974182</v>
      </c>
      <c r="AQ379" s="72">
        <f t="shared" si="143"/>
        <v>1723848.0758626563</v>
      </c>
      <c r="AR379" s="72">
        <f t="shared" si="144"/>
        <v>861924.03793132817</v>
      </c>
      <c r="AS379" s="72">
        <f t="shared" si="145"/>
        <v>861924.03793132817</v>
      </c>
      <c r="AT379" s="72">
        <f>IFERROR(IFERROR(INDEX('2023 IP UPL Data'!L:L,MATCH(A:A,'2023 IP UPL Data'!B:B,0)),INDEX('2023 IMD UPL Data'!I:I,MATCH(A:A,'2023 IMD UPL Data'!B:B,0))),0)</f>
        <v>5589965.823029412</v>
      </c>
      <c r="AU379" s="72">
        <f>IFERROR(IF(F377="IMD",0,INDEX('2023 OP UPL Data'!J:J,MATCH(A:A,'2023 OP UPL Data'!B:B,0))),0)</f>
        <v>942227.48025157233</v>
      </c>
      <c r="AV379" s="45">
        <f t="shared" si="146"/>
        <v>6532193.3032809841</v>
      </c>
      <c r="AW379" s="72">
        <f>IFERROR(IFERROR(INDEX('2023 IP UPL Data'!M:M,MATCH(A:A,'2023 IP UPL Data'!B:B,0)),INDEX('2023 IMD UPL Data'!K:K,MATCH(A:A,'2023 IMD UPL Data'!B:B,0))),0)</f>
        <v>5872028.6500000004</v>
      </c>
      <c r="AX379" s="72">
        <f>IFERROR(IF(F377="IMD",0,INDEX('2023 OP UPL Data'!L:L,MATCH(A:A,'2023 OP UPL Data'!B:B,0))),0)</f>
        <v>3252894.17</v>
      </c>
      <c r="AY379" s="45">
        <f t="shared" si="147"/>
        <v>9124922.8200000003</v>
      </c>
      <c r="AZ379" s="72">
        <v>7727815.9178474313</v>
      </c>
      <c r="BA379" s="72">
        <v>4278196.9445389649</v>
      </c>
      <c r="BB379" s="72">
        <f t="shared" si="148"/>
        <v>6951027.5033377241</v>
      </c>
      <c r="BC379" s="72">
        <f t="shared" si="148"/>
        <v>3316064.4452153961</v>
      </c>
      <c r="BD379" s="72">
        <f t="shared" si="149"/>
        <v>10267091.948553121</v>
      </c>
      <c r="BE379" s="94">
        <f t="shared" si="150"/>
        <v>1855787.2678474309</v>
      </c>
      <c r="BF379" s="94">
        <f t="shared" si="150"/>
        <v>1025302.774538965</v>
      </c>
      <c r="BG379" s="73">
        <f>IFERROR(INDEX('2023 IP UPL Data'!K:K,MATCH(A379,'2023 IP UPL Data'!B:B,0)),0)</f>
        <v>0</v>
      </c>
    </row>
    <row r="380" spans="1:59">
      <c r="A380" s="124" t="s">
        <v>1289</v>
      </c>
      <c r="B380" s="149" t="s">
        <v>1289</v>
      </c>
      <c r="C380" s="31" t="s">
        <v>1290</v>
      </c>
      <c r="D380" s="181" t="s">
        <v>1290</v>
      </c>
      <c r="E380" s="144" t="s">
        <v>3585</v>
      </c>
      <c r="F380" s="120" t="s">
        <v>2768</v>
      </c>
      <c r="G380" s="120" t="s">
        <v>310</v>
      </c>
      <c r="H380" s="43" t="str">
        <f t="shared" si="130"/>
        <v>Rural MRSA Northeast</v>
      </c>
      <c r="I380" s="45">
        <f>INDEX(FeeCalc!M:M,MATCH(C:C,FeeCalc!F:F,0))</f>
        <v>3673147.4498584243</v>
      </c>
      <c r="J380" s="45">
        <f>INDEX(FeeCalc!L:L,MATCH(C:C,FeeCalc!F:F,0))</f>
        <v>3581774.490225953</v>
      </c>
      <c r="K380" s="45">
        <f t="shared" si="131"/>
        <v>7254921.9400843773</v>
      </c>
      <c r="L380" s="45">
        <f>IFERROR(IFERROR(INDEX('2023 IP UPL Data'!N:N,MATCH(A:A,'2023 IP UPL Data'!B:B,0)),INDEX('2023 IMD UPL Data'!M:M,MATCH(A:A,'2023 IMD UPL Data'!B:B,0))),0)</f>
        <v>884220.31514868233</v>
      </c>
      <c r="M380" s="45">
        <f>IFERROR((IF(F380="IMD",0,INDEX('2023 OP UPL Data'!M:M,MATCH(A:A,'2023 OP UPL Data'!B:B,0)))),0)</f>
        <v>1935207.9509677419</v>
      </c>
      <c r="N380" s="45">
        <f t="shared" si="132"/>
        <v>2819428.2661164245</v>
      </c>
      <c r="O380" s="45">
        <v>2471629.3950028131</v>
      </c>
      <c r="P380" s="45">
        <v>3908138.6810755059</v>
      </c>
      <c r="Q380" s="45">
        <f t="shared" si="133"/>
        <v>6379768.076078319</v>
      </c>
      <c r="R380" s="45" t="str">
        <f t="shared" si="134"/>
        <v>Yes</v>
      </c>
      <c r="S380" s="46" t="str">
        <f t="shared" si="134"/>
        <v>Yes</v>
      </c>
      <c r="T380" s="47">
        <f>ROUND(INDEX(Summary!H:H,MATCH(H:H,Summary!A:A,0)),2)</f>
        <v>0.16</v>
      </c>
      <c r="U380" s="47">
        <f>ROUND(INDEX(Summary!I:I,MATCH(H:H,Summary!A:A,0)),2)</f>
        <v>0.42</v>
      </c>
      <c r="V380" s="85">
        <f t="shared" si="135"/>
        <v>587703.59197734785</v>
      </c>
      <c r="W380" s="85">
        <f t="shared" si="135"/>
        <v>1504345.2858949003</v>
      </c>
      <c r="X380" s="45">
        <f t="shared" si="136"/>
        <v>2092048.8778722482</v>
      </c>
      <c r="Y380" s="45" t="s">
        <v>3223</v>
      </c>
      <c r="Z380" s="45" t="str">
        <f t="shared" si="137"/>
        <v>Yes</v>
      </c>
      <c r="AA380" s="45" t="str">
        <f t="shared" si="137"/>
        <v>Yes</v>
      </c>
      <c r="AB380" s="45" t="str">
        <f t="shared" si="138"/>
        <v>Yes</v>
      </c>
      <c r="AC380" s="86">
        <f t="shared" si="151"/>
        <v>0.36</v>
      </c>
      <c r="AD380" s="86">
        <f t="shared" si="152"/>
        <v>0.47</v>
      </c>
      <c r="AE380" s="45">
        <f t="shared" si="153"/>
        <v>1322333.0819490326</v>
      </c>
      <c r="AF380" s="45">
        <f t="shared" si="153"/>
        <v>1683434.0104061977</v>
      </c>
      <c r="AG380" s="45">
        <f t="shared" si="139"/>
        <v>3005767.0923552304</v>
      </c>
      <c r="AH380" s="47">
        <f>IF(Y380="No",0,IFERROR(ROUNDDOWN(INDEX('90% of ACR'!K:K,MATCH(H:H,'90% of ACR'!A:A,0))*IF(I380&gt;0,IF(O380&gt;0,$R$4*MAX(O380-V380,0),0),0)/I380,2),0))</f>
        <v>0.16</v>
      </c>
      <c r="AI380" s="86">
        <f>IF(Y380="No",0,IFERROR(ROUNDDOWN(INDEX('90% of ACR'!R:R,MATCH(H:H,'90% of ACR'!A:A,0))*IF(J380&gt;0,IF(P380&gt;0,$R$4*MAX(P380-W380,0),0),0)/J380,2),0))</f>
        <v>0.46</v>
      </c>
      <c r="AJ380" s="45">
        <f t="shared" si="140"/>
        <v>587703.59197734785</v>
      </c>
      <c r="AK380" s="45">
        <f t="shared" si="140"/>
        <v>1647616.2655039385</v>
      </c>
      <c r="AL380" s="47">
        <f t="shared" si="141"/>
        <v>0.32</v>
      </c>
      <c r="AM380" s="47">
        <f t="shared" si="141"/>
        <v>0.88</v>
      </c>
      <c r="AN380" s="87">
        <f>IFERROR(INDEX(FeeCalc!P:P,MATCH(C380,FeeCalc!F:F,0)),0)</f>
        <v>4327368.735353535</v>
      </c>
      <c r="AO380" s="87">
        <f>IFERROR(INDEX(FeeCalc!S:S,MATCH(C380,FeeCalc!F:F,0)),0)</f>
        <v>265904.84798384563</v>
      </c>
      <c r="AP380" s="87">
        <f t="shared" si="142"/>
        <v>4593273.5833373806</v>
      </c>
      <c r="AQ380" s="72">
        <f t="shared" si="143"/>
        <v>1949072.9661647177</v>
      </c>
      <c r="AR380" s="72">
        <f t="shared" si="144"/>
        <v>974536.48308235884</v>
      </c>
      <c r="AS380" s="72">
        <f t="shared" si="145"/>
        <v>974536.48308235884</v>
      </c>
      <c r="AT380" s="72">
        <f>IFERROR(IFERROR(INDEX('2023 IP UPL Data'!L:L,MATCH(A:A,'2023 IP UPL Data'!B:B,0)),INDEX('2023 IMD UPL Data'!I:I,MATCH(A:A,'2023 IMD UPL Data'!B:B,0))),0)</f>
        <v>4246426.5748513173</v>
      </c>
      <c r="AU380" s="72">
        <f>IFERROR(IF(F378="IMD",0,INDEX('2023 OP UPL Data'!J:J,MATCH(A:A,'2023 OP UPL Data'!B:B,0))),0)</f>
        <v>1365831.429032258</v>
      </c>
      <c r="AV380" s="45">
        <f t="shared" si="146"/>
        <v>5612258.0038835751</v>
      </c>
      <c r="AW380" s="72">
        <f>IFERROR(IFERROR(INDEX('2023 IP UPL Data'!M:M,MATCH(A:A,'2023 IP UPL Data'!B:B,0)),INDEX('2023 IMD UPL Data'!K:K,MATCH(A:A,'2023 IMD UPL Data'!B:B,0))),0)</f>
        <v>5130646.8899999997</v>
      </c>
      <c r="AX380" s="72">
        <f>IFERROR(IF(F378="IMD",0,INDEX('2023 OP UPL Data'!L:L,MATCH(A:A,'2023 OP UPL Data'!B:B,0))),0)</f>
        <v>3301039.38</v>
      </c>
      <c r="AY380" s="45">
        <f t="shared" si="147"/>
        <v>8431686.2699999996</v>
      </c>
      <c r="AZ380" s="72">
        <v>6718055.9698541304</v>
      </c>
      <c r="BA380" s="72">
        <v>5273970.1101077637</v>
      </c>
      <c r="BB380" s="72">
        <f t="shared" si="148"/>
        <v>6130352.3778767828</v>
      </c>
      <c r="BC380" s="72">
        <f t="shared" si="148"/>
        <v>3769624.8242128631</v>
      </c>
      <c r="BD380" s="72">
        <f t="shared" si="149"/>
        <v>9899977.202089645</v>
      </c>
      <c r="BE380" s="94">
        <f t="shared" si="150"/>
        <v>1587409.0798541307</v>
      </c>
      <c r="BF380" s="94">
        <f t="shared" si="150"/>
        <v>1972930.7301077638</v>
      </c>
      <c r="BG380" s="73">
        <f>IFERROR(INDEX('2023 IP UPL Data'!K:K,MATCH(A380,'2023 IP UPL Data'!B:B,0)),0)</f>
        <v>0</v>
      </c>
    </row>
    <row r="381" spans="1:59" ht="25.5">
      <c r="A381" s="124" t="s">
        <v>2779</v>
      </c>
      <c r="B381" s="149" t="s">
        <v>2779</v>
      </c>
      <c r="C381" s="31" t="s">
        <v>2780</v>
      </c>
      <c r="D381" s="181" t="s">
        <v>2780</v>
      </c>
      <c r="E381" s="144" t="s">
        <v>3586</v>
      </c>
      <c r="F381" s="120" t="s">
        <v>3389</v>
      </c>
      <c r="G381" s="120" t="s">
        <v>1202</v>
      </c>
      <c r="H381" s="43" t="str">
        <f t="shared" si="130"/>
        <v>State-owned IMD Travis</v>
      </c>
      <c r="I381" s="45">
        <f>INDEX(FeeCalc!M:M,MATCH(C:C,FeeCalc!F:F,0))</f>
        <v>6818.0430852158661</v>
      </c>
      <c r="J381" s="45">
        <f>INDEX(FeeCalc!L:L,MATCH(C:C,FeeCalc!F:F,0))</f>
        <v>0</v>
      </c>
      <c r="K381" s="45">
        <f t="shared" si="131"/>
        <v>6818.0430852158661</v>
      </c>
      <c r="L381" s="45">
        <f>IFERROR(IFERROR(INDEX('2023 IP UPL Data'!N:N,MATCH(A:A,'2023 IP UPL Data'!B:B,0)),INDEX('2023 IMD UPL Data'!M:M,MATCH(A:A,'2023 IMD UPL Data'!B:B,0))),0)</f>
        <v>133401.38</v>
      </c>
      <c r="M381" s="45">
        <f>IFERROR((IF(F381="IMD",0,INDEX('2023 OP UPL Data'!M:M,MATCH(A:A,'2023 OP UPL Data'!B:B,0)))),0)</f>
        <v>0</v>
      </c>
      <c r="N381" s="45">
        <f t="shared" si="132"/>
        <v>133401.38</v>
      </c>
      <c r="O381" s="45">
        <v>-111788.74</v>
      </c>
      <c r="P381" s="45">
        <v>0</v>
      </c>
      <c r="Q381" s="45">
        <f t="shared" si="133"/>
        <v>-111788.74</v>
      </c>
      <c r="R381" s="45" t="str">
        <f t="shared" si="134"/>
        <v>No</v>
      </c>
      <c r="S381" s="46" t="str">
        <f t="shared" si="134"/>
        <v>No</v>
      </c>
      <c r="T381" s="47">
        <f>ROUND(INDEX(Summary!H:H,MATCH(H:H,Summary!A:A,0)),2)</f>
        <v>19.57</v>
      </c>
      <c r="U381" s="47">
        <f>ROUND(INDEX(Summary!I:I,MATCH(H:H,Summary!A:A,0)),2)</f>
        <v>0</v>
      </c>
      <c r="V381" s="85">
        <f t="shared" si="135"/>
        <v>133429.10317767449</v>
      </c>
      <c r="W381" s="85">
        <f t="shared" si="135"/>
        <v>0</v>
      </c>
      <c r="X381" s="45">
        <f t="shared" si="136"/>
        <v>133429.10317767449</v>
      </c>
      <c r="Y381" s="45" t="s">
        <v>3223</v>
      </c>
      <c r="Z381" s="45" t="str">
        <f t="shared" si="137"/>
        <v>No</v>
      </c>
      <c r="AA381" s="45" t="str">
        <f t="shared" si="137"/>
        <v>No</v>
      </c>
      <c r="AB381" s="45" t="str">
        <f t="shared" si="138"/>
        <v>No</v>
      </c>
      <c r="AC381" s="86">
        <f t="shared" si="151"/>
        <v>0</v>
      </c>
      <c r="AD381" s="86">
        <f t="shared" si="152"/>
        <v>0</v>
      </c>
      <c r="AE381" s="45">
        <f t="shared" si="153"/>
        <v>0</v>
      </c>
      <c r="AF381" s="45">
        <f t="shared" si="153"/>
        <v>0</v>
      </c>
      <c r="AG381" s="45">
        <f t="shared" si="139"/>
        <v>0</v>
      </c>
      <c r="AH381" s="47">
        <f>IF(Y381="No",0,IFERROR(ROUNDDOWN(INDEX('90% of ACR'!K:K,MATCH(H:H,'90% of ACR'!A:A,0))*IF(I381&gt;0,IF(O381&gt;0,$R$4*MAX(O381-V381,0),0),0)/I381,2),0))</f>
        <v>0</v>
      </c>
      <c r="AI381" s="86">
        <f>IF(Y381="No",0,IFERROR(ROUNDDOWN(INDEX('90% of ACR'!R:R,MATCH(H:H,'90% of ACR'!A:A,0))*IF(J381&gt;0,IF(P381&gt;0,$R$4*MAX(P381-W381,0),0),0)/J381,2),0))</f>
        <v>0</v>
      </c>
      <c r="AJ381" s="45">
        <f t="shared" si="140"/>
        <v>0</v>
      </c>
      <c r="AK381" s="45">
        <f t="shared" si="140"/>
        <v>0</v>
      </c>
      <c r="AL381" s="47">
        <f t="shared" si="141"/>
        <v>19.57</v>
      </c>
      <c r="AM381" s="47">
        <f t="shared" si="141"/>
        <v>0</v>
      </c>
      <c r="AN381" s="87">
        <f>IFERROR(INDEX(FeeCalc!P:P,MATCH(C381,FeeCalc!F:F,0)),0)</f>
        <v>133429.10317767449</v>
      </c>
      <c r="AO381" s="87">
        <f>IFERROR(INDEX(FeeCalc!S:S,MATCH(C381,FeeCalc!F:F,0)),0)</f>
        <v>8140.2370638899574</v>
      </c>
      <c r="AP381" s="87">
        <f t="shared" si="142"/>
        <v>141569.34024156444</v>
      </c>
      <c r="AQ381" s="72">
        <f t="shared" si="143"/>
        <v>60072.40128338353</v>
      </c>
      <c r="AR381" s="72">
        <f t="shared" si="144"/>
        <v>30036.200641691765</v>
      </c>
      <c r="AS381" s="72">
        <f t="shared" si="145"/>
        <v>30036.200641691765</v>
      </c>
      <c r="AT381" s="72">
        <f>IFERROR(IFERROR(INDEX('2023 IP UPL Data'!L:L,MATCH(A:A,'2023 IP UPL Data'!B:B,0)),INDEX('2023 IMD UPL Data'!I:I,MATCH(A:A,'2023 IMD UPL Data'!B:B,0))),0)</f>
        <v>111788.74</v>
      </c>
      <c r="AU381" s="72">
        <f>IFERROR(IF(F379="IMD",0,INDEX('2023 OP UPL Data'!J:J,MATCH(A:A,'2023 OP UPL Data'!B:B,0))),0)</f>
        <v>0</v>
      </c>
      <c r="AV381" s="45">
        <f t="shared" si="146"/>
        <v>111788.74</v>
      </c>
      <c r="AW381" s="72">
        <f>IFERROR(IFERROR(INDEX('2023 IP UPL Data'!M:M,MATCH(A:A,'2023 IP UPL Data'!B:B,0)),INDEX('2023 IMD UPL Data'!K:K,MATCH(A:A,'2023 IMD UPL Data'!B:B,0))),0)</f>
        <v>133401.38</v>
      </c>
      <c r="AX381" s="72">
        <f>IFERROR(IF(F379="IMD",0,INDEX('2023 OP UPL Data'!L:L,MATCH(A:A,'2023 OP UPL Data'!B:B,0))),0)</f>
        <v>0</v>
      </c>
      <c r="AY381" s="45">
        <f t="shared" si="147"/>
        <v>133401.38</v>
      </c>
      <c r="AZ381" s="72">
        <v>0</v>
      </c>
      <c r="BA381" s="72">
        <v>0</v>
      </c>
      <c r="BB381" s="72">
        <f t="shared" si="148"/>
        <v>0</v>
      </c>
      <c r="BC381" s="72">
        <f t="shared" si="148"/>
        <v>0</v>
      </c>
      <c r="BD381" s="72">
        <f t="shared" si="149"/>
        <v>0</v>
      </c>
      <c r="BE381" s="94">
        <f t="shared" si="150"/>
        <v>0</v>
      </c>
      <c r="BF381" s="94">
        <f t="shared" si="150"/>
        <v>0</v>
      </c>
      <c r="BG381" s="73">
        <f>IFERROR(INDEX('2023 IP UPL Data'!K:K,MATCH(A381,'2023 IP UPL Data'!B:B,0)),0)</f>
        <v>0</v>
      </c>
    </row>
    <row r="382" spans="1:59">
      <c r="A382" s="124" t="s">
        <v>741</v>
      </c>
      <c r="B382" s="149" t="s">
        <v>741</v>
      </c>
      <c r="C382" s="31" t="s">
        <v>742</v>
      </c>
      <c r="D382" s="181" t="s">
        <v>742</v>
      </c>
      <c r="E382" s="144" t="s">
        <v>3147</v>
      </c>
      <c r="F382" s="120" t="s">
        <v>2768</v>
      </c>
      <c r="G382" s="120" t="s">
        <v>227</v>
      </c>
      <c r="H382" s="43" t="str">
        <f t="shared" si="130"/>
        <v>Rural MRSA West</v>
      </c>
      <c r="I382" s="45">
        <f>INDEX(FeeCalc!M:M,MATCH(C:C,FeeCalc!F:F,0))</f>
        <v>285592.42431186384</v>
      </c>
      <c r="J382" s="45">
        <f>INDEX(FeeCalc!L:L,MATCH(C:C,FeeCalc!F:F,0))</f>
        <v>0</v>
      </c>
      <c r="K382" s="45">
        <f t="shared" si="131"/>
        <v>285592.42431186384</v>
      </c>
      <c r="L382" s="45">
        <f>IFERROR(IFERROR(INDEX('2023 IP UPL Data'!N:N,MATCH(A:A,'2023 IP UPL Data'!B:B,0)),INDEX('2023 IMD UPL Data'!M:M,MATCH(A:A,'2023 IMD UPL Data'!B:B,0))),0)</f>
        <v>6485.9874843076686</v>
      </c>
      <c r="M382" s="45">
        <f>IFERROR((IF(F382="IMD",0,INDEX('2023 OP UPL Data'!M:M,MATCH(A:A,'2023 OP UPL Data'!B:B,0)))),0)</f>
        <v>95213.915000000008</v>
      </c>
      <c r="N382" s="45">
        <f t="shared" si="132"/>
        <v>101699.90248430768</v>
      </c>
      <c r="O382" s="45">
        <v>-23621.832949983334</v>
      </c>
      <c r="P382" s="45">
        <v>29307.780238329316</v>
      </c>
      <c r="Q382" s="45">
        <f t="shared" si="133"/>
        <v>5685.9472883459821</v>
      </c>
      <c r="R382" s="45" t="str">
        <f t="shared" si="134"/>
        <v>No</v>
      </c>
      <c r="S382" s="46" t="str">
        <f t="shared" si="134"/>
        <v>Yes</v>
      </c>
      <c r="T382" s="47">
        <f>ROUND(INDEX(Summary!H:H,MATCH(H:H,Summary!A:A,0)),2)</f>
        <v>0</v>
      </c>
      <c r="U382" s="47">
        <f>ROUND(INDEX(Summary!I:I,MATCH(H:H,Summary!A:A,0)),2)</f>
        <v>0.28999999999999998</v>
      </c>
      <c r="V382" s="85">
        <f t="shared" si="135"/>
        <v>0</v>
      </c>
      <c r="W382" s="85">
        <f t="shared" si="135"/>
        <v>0</v>
      </c>
      <c r="X382" s="45">
        <f t="shared" si="136"/>
        <v>0</v>
      </c>
      <c r="Y382" s="45" t="s">
        <v>3223</v>
      </c>
      <c r="Z382" s="45" t="str">
        <f t="shared" si="137"/>
        <v>No</v>
      </c>
      <c r="AA382" s="45" t="str">
        <f t="shared" si="137"/>
        <v>No</v>
      </c>
      <c r="AB382" s="45" t="str">
        <f t="shared" si="138"/>
        <v>No</v>
      </c>
      <c r="AC382" s="86">
        <f t="shared" si="151"/>
        <v>0</v>
      </c>
      <c r="AD382" s="86">
        <f t="shared" si="152"/>
        <v>0</v>
      </c>
      <c r="AE382" s="45">
        <f t="shared" si="153"/>
        <v>0</v>
      </c>
      <c r="AF382" s="45">
        <f t="shared" si="153"/>
        <v>0</v>
      </c>
      <c r="AG382" s="45">
        <f t="shared" si="139"/>
        <v>0</v>
      </c>
      <c r="AH382" s="47">
        <f>IF(Y382="No",0,IFERROR(ROUNDDOWN(INDEX('90% of ACR'!K:K,MATCH(H:H,'90% of ACR'!A:A,0))*IF(I382&gt;0,IF(O382&gt;0,$R$4*MAX(O382-V382,0),0),0)/I382,2),0))</f>
        <v>0</v>
      </c>
      <c r="AI382" s="86">
        <f>IF(Y382="No",0,IFERROR(ROUNDDOWN(INDEX('90% of ACR'!R:R,MATCH(H:H,'90% of ACR'!A:A,0))*IF(J382&gt;0,IF(P382&gt;0,$R$4*MAX(P382-W382,0),0),0)/J382,2),0))</f>
        <v>0</v>
      </c>
      <c r="AJ382" s="45">
        <f t="shared" si="140"/>
        <v>0</v>
      </c>
      <c r="AK382" s="45">
        <f t="shared" si="140"/>
        <v>0</v>
      </c>
      <c r="AL382" s="47">
        <f t="shared" si="141"/>
        <v>0</v>
      </c>
      <c r="AM382" s="47">
        <f t="shared" si="141"/>
        <v>0.28999999999999998</v>
      </c>
      <c r="AN382" s="87">
        <f>IFERROR(INDEX(FeeCalc!P:P,MATCH(C382,FeeCalc!F:F,0)),0)</f>
        <v>0</v>
      </c>
      <c r="AO382" s="87">
        <f>IFERROR(INDEX(FeeCalc!S:S,MATCH(C382,FeeCalc!F:F,0)),0)</f>
        <v>0</v>
      </c>
      <c r="AP382" s="87">
        <f t="shared" si="142"/>
        <v>0</v>
      </c>
      <c r="AQ382" s="72">
        <f t="shared" si="143"/>
        <v>0</v>
      </c>
      <c r="AR382" s="72">
        <f t="shared" si="144"/>
        <v>0</v>
      </c>
      <c r="AS382" s="72">
        <f t="shared" si="145"/>
        <v>0</v>
      </c>
      <c r="AT382" s="72">
        <f>IFERROR(IFERROR(INDEX('2023 IP UPL Data'!L:L,MATCH(A:A,'2023 IP UPL Data'!B:B,0)),INDEX('2023 IMD UPL Data'!I:I,MATCH(A:A,'2023 IMD UPL Data'!B:B,0))),0)</f>
        <v>33379.79251569233</v>
      </c>
      <c r="AU382" s="72">
        <f>IFERROR(IF(F380="IMD",0,INDEX('2023 OP UPL Data'!J:J,MATCH(A:A,'2023 OP UPL Data'!B:B,0))),0)</f>
        <v>109063.05499999999</v>
      </c>
      <c r="AV382" s="45">
        <f t="shared" si="146"/>
        <v>142442.84751569232</v>
      </c>
      <c r="AW382" s="72">
        <f>IFERROR(IFERROR(INDEX('2023 IP UPL Data'!M:M,MATCH(A:A,'2023 IP UPL Data'!B:B,0)),INDEX('2023 IMD UPL Data'!K:K,MATCH(A:A,'2023 IMD UPL Data'!B:B,0))),0)</f>
        <v>39865.78</v>
      </c>
      <c r="AX382" s="72">
        <f>IFERROR(IF(F380="IMD",0,INDEX('2023 OP UPL Data'!L:L,MATCH(A:A,'2023 OP UPL Data'!B:B,0))),0)</f>
        <v>204276.97</v>
      </c>
      <c r="AY382" s="45">
        <f t="shared" si="147"/>
        <v>244142.75</v>
      </c>
      <c r="AZ382" s="72">
        <v>9757.9595657089976</v>
      </c>
      <c r="BA382" s="72">
        <v>138370.83523832931</v>
      </c>
      <c r="BB382" s="72">
        <f t="shared" si="148"/>
        <v>9757.9595657089976</v>
      </c>
      <c r="BC382" s="72">
        <f t="shared" si="148"/>
        <v>138370.83523832931</v>
      </c>
      <c r="BD382" s="72">
        <f t="shared" si="149"/>
        <v>148128.79480403831</v>
      </c>
      <c r="BE382" s="94">
        <f t="shared" si="150"/>
        <v>0</v>
      </c>
      <c r="BF382" s="94">
        <f t="shared" si="150"/>
        <v>0</v>
      </c>
      <c r="BG382" s="73">
        <f>IFERROR(INDEX('2023 IP UPL Data'!K:K,MATCH(A382,'2023 IP UPL Data'!B:B,0)),0)</f>
        <v>0</v>
      </c>
    </row>
    <row r="383" spans="1:59">
      <c r="A383" s="124" t="s">
        <v>744</v>
      </c>
      <c r="B383" s="149" t="s">
        <v>744</v>
      </c>
      <c r="C383" s="31" t="s">
        <v>745</v>
      </c>
      <c r="D383" s="181" t="s">
        <v>745</v>
      </c>
      <c r="E383" s="144" t="s">
        <v>3587</v>
      </c>
      <c r="F383" s="120" t="s">
        <v>2768</v>
      </c>
      <c r="G383" s="120" t="s">
        <v>227</v>
      </c>
      <c r="H383" s="43" t="str">
        <f t="shared" si="130"/>
        <v>Rural MRSA West</v>
      </c>
      <c r="I383" s="45">
        <f>INDEX(FeeCalc!M:M,MATCH(C:C,FeeCalc!F:F,0))</f>
        <v>25638.641999978081</v>
      </c>
      <c r="J383" s="45">
        <f>INDEX(FeeCalc!L:L,MATCH(C:C,FeeCalc!F:F,0))</f>
        <v>127301.55229365319</v>
      </c>
      <c r="K383" s="45">
        <f t="shared" si="131"/>
        <v>152940.19429363127</v>
      </c>
      <c r="L383" s="45">
        <f>IFERROR(IFERROR(INDEX('2023 IP UPL Data'!N:N,MATCH(A:A,'2023 IP UPL Data'!B:B,0)),INDEX('2023 IMD UPL Data'!M:M,MATCH(A:A,'2023 IMD UPL Data'!B:B,0))),0)</f>
        <v>1418.48</v>
      </c>
      <c r="M383" s="45">
        <f>IFERROR((IF(F383="IMD",0,INDEX('2023 OP UPL Data'!M:M,MATCH(A:A,'2023 OP UPL Data'!B:B,0)))),0)</f>
        <v>21370.143250000008</v>
      </c>
      <c r="N383" s="45">
        <f t="shared" si="132"/>
        <v>22788.623250000008</v>
      </c>
      <c r="O383" s="45">
        <v>1412.0054450171033</v>
      </c>
      <c r="P383" s="45">
        <v>58757.35571688741</v>
      </c>
      <c r="Q383" s="45">
        <f t="shared" si="133"/>
        <v>60169.361161904511</v>
      </c>
      <c r="R383" s="45" t="str">
        <f t="shared" si="134"/>
        <v>Yes</v>
      </c>
      <c r="S383" s="46" t="str">
        <f t="shared" si="134"/>
        <v>Yes</v>
      </c>
      <c r="T383" s="47">
        <f>ROUND(INDEX(Summary!H:H,MATCH(H:H,Summary!A:A,0)),2)</f>
        <v>0</v>
      </c>
      <c r="U383" s="47">
        <f>ROUND(INDEX(Summary!I:I,MATCH(H:H,Summary!A:A,0)),2)</f>
        <v>0.28999999999999998</v>
      </c>
      <c r="V383" s="85">
        <f t="shared" si="135"/>
        <v>0</v>
      </c>
      <c r="W383" s="85">
        <f t="shared" si="135"/>
        <v>36917.450165159426</v>
      </c>
      <c r="X383" s="45">
        <f t="shared" si="136"/>
        <v>36917.450165159426</v>
      </c>
      <c r="Y383" s="45" t="s">
        <v>3224</v>
      </c>
      <c r="Z383" s="45" t="str">
        <f t="shared" si="137"/>
        <v>No</v>
      </c>
      <c r="AA383" s="45" t="str">
        <f t="shared" si="137"/>
        <v>No</v>
      </c>
      <c r="AB383" s="45" t="str">
        <f t="shared" si="138"/>
        <v>No</v>
      </c>
      <c r="AC383" s="86">
        <f t="shared" si="151"/>
        <v>0</v>
      </c>
      <c r="AD383" s="86">
        <f t="shared" si="152"/>
        <v>0</v>
      </c>
      <c r="AE383" s="45">
        <f t="shared" si="153"/>
        <v>0</v>
      </c>
      <c r="AF383" s="45">
        <f t="shared" si="153"/>
        <v>0</v>
      </c>
      <c r="AG383" s="45">
        <f t="shared" si="139"/>
        <v>0</v>
      </c>
      <c r="AH383" s="47">
        <f>IF(Y383="No",0,IFERROR(ROUNDDOWN(INDEX('90% of ACR'!K:K,MATCH(H:H,'90% of ACR'!A:A,0))*IF(I383&gt;0,IF(O383&gt;0,$R$4*MAX(O383-V383,0),0),0)/I383,2),0))</f>
        <v>0</v>
      </c>
      <c r="AI383" s="86">
        <f>IF(Y383="No",0,IFERROR(ROUNDDOWN(INDEX('90% of ACR'!R:R,MATCH(H:H,'90% of ACR'!A:A,0))*IF(J383&gt;0,IF(P383&gt;0,$R$4*MAX(P383-W383,0),0),0)/J383,2),0))</f>
        <v>0</v>
      </c>
      <c r="AJ383" s="45">
        <f t="shared" si="140"/>
        <v>0</v>
      </c>
      <c r="AK383" s="45">
        <f t="shared" si="140"/>
        <v>0</v>
      </c>
      <c r="AL383" s="47">
        <f t="shared" si="141"/>
        <v>0</v>
      </c>
      <c r="AM383" s="47">
        <f t="shared" si="141"/>
        <v>0.28999999999999998</v>
      </c>
      <c r="AN383" s="87">
        <f>IFERROR(INDEX(FeeCalc!P:P,MATCH(C383,FeeCalc!F:F,0)),0)</f>
        <v>36917.450165159426</v>
      </c>
      <c r="AO383" s="87">
        <f>IFERROR(INDEX(FeeCalc!S:S,MATCH(C383,FeeCalc!F:F,0)),0)</f>
        <v>2264.9098958889472</v>
      </c>
      <c r="AP383" s="87">
        <f t="shared" si="142"/>
        <v>39182.36006104837</v>
      </c>
      <c r="AQ383" s="72">
        <f t="shared" si="143"/>
        <v>16626.329209424781</v>
      </c>
      <c r="AR383" s="72">
        <f t="shared" si="144"/>
        <v>8313.1646047123904</v>
      </c>
      <c r="AS383" s="72">
        <f t="shared" si="145"/>
        <v>8313.1646047123904</v>
      </c>
      <c r="AT383" s="72">
        <f>IFERROR(IFERROR(INDEX('2023 IP UPL Data'!L:L,MATCH(A:A,'2023 IP UPL Data'!B:B,0)),INDEX('2023 IMD UPL Data'!I:I,MATCH(A:A,'2023 IMD UPL Data'!B:B,0))),0)</f>
        <v>0.01</v>
      </c>
      <c r="AU383" s="72">
        <f>IFERROR(IF(F381="IMD",0,INDEX('2023 OP UPL Data'!J:J,MATCH(A:A,'2023 OP UPL Data'!B:B,0))),0)</f>
        <v>48512.236749999996</v>
      </c>
      <c r="AV383" s="45">
        <f t="shared" si="146"/>
        <v>48512.246749999998</v>
      </c>
      <c r="AW383" s="72">
        <f>IFERROR(IFERROR(INDEX('2023 IP UPL Data'!M:M,MATCH(A:A,'2023 IP UPL Data'!B:B,0)),INDEX('2023 IMD UPL Data'!K:K,MATCH(A:A,'2023 IMD UPL Data'!B:B,0))),0)</f>
        <v>1418.49</v>
      </c>
      <c r="AX383" s="72">
        <f>IFERROR(IF(F381="IMD",0,INDEX('2023 OP UPL Data'!L:L,MATCH(A:A,'2023 OP UPL Data'!B:B,0))),0)</f>
        <v>69882.38</v>
      </c>
      <c r="AY383" s="45">
        <f t="shared" si="147"/>
        <v>71300.87000000001</v>
      </c>
      <c r="AZ383" s="72">
        <v>1412.0154450171033</v>
      </c>
      <c r="BA383" s="72">
        <v>107269.59246688741</v>
      </c>
      <c r="BB383" s="72">
        <f t="shared" si="148"/>
        <v>1412.0154450171033</v>
      </c>
      <c r="BC383" s="72">
        <f t="shared" si="148"/>
        <v>70352.142301727989</v>
      </c>
      <c r="BD383" s="72">
        <f t="shared" si="149"/>
        <v>71764.157746745099</v>
      </c>
      <c r="BE383" s="94">
        <f t="shared" si="150"/>
        <v>0</v>
      </c>
      <c r="BF383" s="94">
        <f t="shared" si="150"/>
        <v>37387.212466887402</v>
      </c>
      <c r="BG383" s="73">
        <f>IFERROR(INDEX('2023 IP UPL Data'!K:K,MATCH(A383,'2023 IP UPL Data'!B:B,0)),0)</f>
        <v>0</v>
      </c>
    </row>
    <row r="384" spans="1:59" ht="25.5">
      <c r="A384" s="124" t="s">
        <v>2781</v>
      </c>
      <c r="B384" s="149" t="s">
        <v>2781</v>
      </c>
      <c r="C384" s="31" t="s">
        <v>2782</v>
      </c>
      <c r="D384" s="181" t="s">
        <v>2782</v>
      </c>
      <c r="E384" s="144" t="s">
        <v>3148</v>
      </c>
      <c r="F384" s="120" t="s">
        <v>3389</v>
      </c>
      <c r="G384" s="120" t="s">
        <v>227</v>
      </c>
      <c r="H384" s="43" t="str">
        <f t="shared" si="130"/>
        <v>State-owned IMD MRSA West</v>
      </c>
      <c r="I384" s="45">
        <f>INDEX(FeeCalc!M:M,MATCH(C:C,FeeCalc!F:F,0))</f>
        <v>0</v>
      </c>
      <c r="J384" s="45">
        <f>INDEX(FeeCalc!L:L,MATCH(C:C,FeeCalc!F:F,0))</f>
        <v>0</v>
      </c>
      <c r="K384" s="45">
        <f t="shared" si="131"/>
        <v>0</v>
      </c>
      <c r="L384" s="45">
        <f>IFERROR(IFERROR(INDEX('2023 IP UPL Data'!N:N,MATCH(A:A,'2023 IP UPL Data'!B:B,0)),INDEX('2023 IMD UPL Data'!M:M,MATCH(A:A,'2023 IMD UPL Data'!B:B,0))),0)</f>
        <v>14810.76</v>
      </c>
      <c r="M384" s="45">
        <f>IFERROR((IF(F384="IMD",0,INDEX('2023 OP UPL Data'!M:M,MATCH(A:A,'2023 OP UPL Data'!B:B,0)))),0)</f>
        <v>0</v>
      </c>
      <c r="N384" s="45">
        <f t="shared" si="132"/>
        <v>14810.76</v>
      </c>
      <c r="O384" s="45">
        <v>-10980.36</v>
      </c>
      <c r="P384" s="45">
        <v>0</v>
      </c>
      <c r="Q384" s="45">
        <f t="shared" si="133"/>
        <v>-10980.36</v>
      </c>
      <c r="R384" s="45" t="str">
        <f t="shared" si="134"/>
        <v>No</v>
      </c>
      <c r="S384" s="46" t="str">
        <f t="shared" si="134"/>
        <v>No</v>
      </c>
      <c r="T384" s="47">
        <f>ROUND(INDEX(Summary!H:H,MATCH(H:H,Summary!A:A,0)),2)</f>
        <v>1.06</v>
      </c>
      <c r="U384" s="47">
        <f>ROUND(INDEX(Summary!I:I,MATCH(H:H,Summary!A:A,0)),2)</f>
        <v>0</v>
      </c>
      <c r="V384" s="85">
        <f t="shared" si="135"/>
        <v>0</v>
      </c>
      <c r="W384" s="85">
        <f t="shared" si="135"/>
        <v>0</v>
      </c>
      <c r="X384" s="45">
        <f t="shared" si="136"/>
        <v>0</v>
      </c>
      <c r="Y384" s="45" t="s">
        <v>3223</v>
      </c>
      <c r="Z384" s="45" t="str">
        <f t="shared" si="137"/>
        <v>No</v>
      </c>
      <c r="AA384" s="45" t="str">
        <f t="shared" si="137"/>
        <v>No</v>
      </c>
      <c r="AB384" s="45" t="str">
        <f t="shared" si="138"/>
        <v>No</v>
      </c>
      <c r="AC384" s="86">
        <f t="shared" si="151"/>
        <v>0</v>
      </c>
      <c r="AD384" s="86">
        <f t="shared" si="152"/>
        <v>0</v>
      </c>
      <c r="AE384" s="45">
        <f t="shared" si="153"/>
        <v>0</v>
      </c>
      <c r="AF384" s="45">
        <f t="shared" si="153"/>
        <v>0</v>
      </c>
      <c r="AG384" s="45">
        <f t="shared" si="139"/>
        <v>0</v>
      </c>
      <c r="AH384" s="47">
        <f>IF(Y384="No",0,IFERROR(ROUNDDOWN(INDEX('90% of ACR'!K:K,MATCH(H:H,'90% of ACR'!A:A,0))*IF(I384&gt;0,IF(O384&gt;0,$R$4*MAX(O384-V384,0),0),0)/I384,2),0))</f>
        <v>0</v>
      </c>
      <c r="AI384" s="86">
        <f>IF(Y384="No",0,IFERROR(ROUNDDOWN(INDEX('90% of ACR'!R:R,MATCH(H:H,'90% of ACR'!A:A,0))*IF(J384&gt;0,IF(P384&gt;0,$R$4*MAX(P384-W384,0),0),0)/J384,2),0))</f>
        <v>0</v>
      </c>
      <c r="AJ384" s="45">
        <f t="shared" si="140"/>
        <v>0</v>
      </c>
      <c r="AK384" s="45">
        <f t="shared" si="140"/>
        <v>0</v>
      </c>
      <c r="AL384" s="47">
        <f t="shared" si="141"/>
        <v>1.06</v>
      </c>
      <c r="AM384" s="47">
        <f t="shared" si="141"/>
        <v>0</v>
      </c>
      <c r="AN384" s="87">
        <f>IFERROR(INDEX(FeeCalc!P:P,MATCH(C384,FeeCalc!F:F,0)),0)</f>
        <v>0</v>
      </c>
      <c r="AO384" s="87">
        <f>IFERROR(INDEX(FeeCalc!S:S,MATCH(C384,FeeCalc!F:F,0)),0)</f>
        <v>0</v>
      </c>
      <c r="AP384" s="87">
        <f t="shared" si="142"/>
        <v>0</v>
      </c>
      <c r="AQ384" s="72">
        <f t="shared" si="143"/>
        <v>0</v>
      </c>
      <c r="AR384" s="72">
        <f t="shared" si="144"/>
        <v>0</v>
      </c>
      <c r="AS384" s="72">
        <f t="shared" si="145"/>
        <v>0</v>
      </c>
      <c r="AT384" s="72">
        <f>IFERROR(IFERROR(INDEX('2023 IP UPL Data'!L:L,MATCH(A:A,'2023 IP UPL Data'!B:B,0)),INDEX('2023 IMD UPL Data'!I:I,MATCH(A:A,'2023 IMD UPL Data'!B:B,0))),0)</f>
        <v>10980.36</v>
      </c>
      <c r="AU384" s="72">
        <f>IFERROR(IF(F382="IMD",0,INDEX('2023 OP UPL Data'!J:J,MATCH(A:A,'2023 OP UPL Data'!B:B,0))),0)</f>
        <v>0</v>
      </c>
      <c r="AV384" s="45">
        <f t="shared" si="146"/>
        <v>10980.36</v>
      </c>
      <c r="AW384" s="72">
        <f>IFERROR(IFERROR(INDEX('2023 IP UPL Data'!M:M,MATCH(A:A,'2023 IP UPL Data'!B:B,0)),INDEX('2023 IMD UPL Data'!K:K,MATCH(A:A,'2023 IMD UPL Data'!B:B,0))),0)</f>
        <v>14810.76</v>
      </c>
      <c r="AX384" s="72">
        <f>IFERROR(IF(F382="IMD",0,INDEX('2023 OP UPL Data'!L:L,MATCH(A:A,'2023 OP UPL Data'!B:B,0))),0)</f>
        <v>0</v>
      </c>
      <c r="AY384" s="45">
        <f t="shared" si="147"/>
        <v>14810.76</v>
      </c>
      <c r="AZ384" s="72">
        <v>0</v>
      </c>
      <c r="BA384" s="72">
        <v>0</v>
      </c>
      <c r="BB384" s="72">
        <f t="shared" si="148"/>
        <v>0</v>
      </c>
      <c r="BC384" s="72">
        <f t="shared" si="148"/>
        <v>0</v>
      </c>
      <c r="BD384" s="72">
        <f t="shared" si="149"/>
        <v>0</v>
      </c>
      <c r="BE384" s="94">
        <f t="shared" si="150"/>
        <v>0</v>
      </c>
      <c r="BF384" s="94">
        <f t="shared" si="150"/>
        <v>0</v>
      </c>
      <c r="BG384" s="73">
        <f>IFERROR(INDEX('2023 IP UPL Data'!K:K,MATCH(A384,'2023 IP UPL Data'!B:B,0)),0)</f>
        <v>0</v>
      </c>
    </row>
    <row r="385" spans="1:59">
      <c r="A385" s="124" t="s">
        <v>353</v>
      </c>
      <c r="B385" s="149" t="s">
        <v>353</v>
      </c>
      <c r="C385" s="31" t="s">
        <v>354</v>
      </c>
      <c r="D385" s="181" t="s">
        <v>354</v>
      </c>
      <c r="E385" s="144" t="s">
        <v>3384</v>
      </c>
      <c r="F385" s="120" t="s">
        <v>2718</v>
      </c>
      <c r="G385" s="120" t="s">
        <v>223</v>
      </c>
      <c r="H385" s="43" t="str">
        <f t="shared" si="130"/>
        <v>Urban Dallas</v>
      </c>
      <c r="I385" s="45">
        <f>INDEX(FeeCalc!M:M,MATCH(C:C,FeeCalc!F:F,0))</f>
        <v>37760.321168960087</v>
      </c>
      <c r="J385" s="45">
        <f>INDEX(FeeCalc!L:L,MATCH(C:C,FeeCalc!F:F,0))</f>
        <v>448204.23824103898</v>
      </c>
      <c r="K385" s="45">
        <f t="shared" si="131"/>
        <v>485964.55940999906</v>
      </c>
      <c r="L385" s="45">
        <f>IFERROR(IFERROR(INDEX('2023 IP UPL Data'!N:N,MATCH(A:A,'2023 IP UPL Data'!B:B,0)),INDEX('2023 IMD UPL Data'!M:M,MATCH(A:A,'2023 IMD UPL Data'!B:B,0))),0)</f>
        <v>200548.59156626507</v>
      </c>
      <c r="M385" s="45">
        <f>IFERROR((IF(F385="IMD",0,INDEX('2023 OP UPL Data'!M:M,MATCH(A:A,'2023 OP UPL Data'!B:B,0)))),0)</f>
        <v>610502.31168674701</v>
      </c>
      <c r="N385" s="45">
        <f t="shared" si="132"/>
        <v>811050.9032530121</v>
      </c>
      <c r="O385" s="45">
        <v>158185.75496503018</v>
      </c>
      <c r="P385" s="45">
        <v>1439110.4086181945</v>
      </c>
      <c r="Q385" s="45">
        <f t="shared" si="133"/>
        <v>1597296.1635832246</v>
      </c>
      <c r="R385" s="45" t="str">
        <f t="shared" si="134"/>
        <v>Yes</v>
      </c>
      <c r="S385" s="46" t="str">
        <f t="shared" si="134"/>
        <v>Yes</v>
      </c>
      <c r="T385" s="47">
        <f>ROUND(INDEX(Summary!H:H,MATCH(H:H,Summary!A:A,0)),2)</f>
        <v>1.2</v>
      </c>
      <c r="U385" s="47">
        <f>ROUND(INDEX(Summary!I:I,MATCH(H:H,Summary!A:A,0)),2)</f>
        <v>1.08</v>
      </c>
      <c r="V385" s="85">
        <f t="shared" si="135"/>
        <v>45312.385402752101</v>
      </c>
      <c r="W385" s="85">
        <f t="shared" si="135"/>
        <v>484060.57730032213</v>
      </c>
      <c r="X385" s="45">
        <f t="shared" si="136"/>
        <v>529372.96270307421</v>
      </c>
      <c r="Y385" s="45" t="s">
        <v>3223</v>
      </c>
      <c r="Z385" s="45" t="str">
        <f t="shared" si="137"/>
        <v>Yes</v>
      </c>
      <c r="AA385" s="45" t="str">
        <f t="shared" si="137"/>
        <v>Yes</v>
      </c>
      <c r="AB385" s="45" t="str">
        <f t="shared" si="138"/>
        <v>Yes</v>
      </c>
      <c r="AC385" s="86">
        <f t="shared" si="151"/>
        <v>2.08</v>
      </c>
      <c r="AD385" s="86">
        <f t="shared" si="152"/>
        <v>1.48</v>
      </c>
      <c r="AE385" s="45">
        <f t="shared" si="153"/>
        <v>78541.468031436976</v>
      </c>
      <c r="AF385" s="45">
        <f t="shared" si="153"/>
        <v>663342.27259673772</v>
      </c>
      <c r="AG385" s="45">
        <f t="shared" si="139"/>
        <v>741883.74062817474</v>
      </c>
      <c r="AH385" s="47">
        <f>IF(Y385="No",0,IFERROR(ROUNDDOWN(INDEX('90% of ACR'!K:K,MATCH(H:H,'90% of ACR'!A:A,0))*IF(I385&gt;0,IF(O385&gt;0,$R$4*MAX(O385-V385,0),0),0)/I385,2),0))</f>
        <v>2.0099999999999998</v>
      </c>
      <c r="AI385" s="86">
        <f>IF(Y385="No",0,IFERROR(ROUNDDOWN(INDEX('90% of ACR'!R:R,MATCH(H:H,'90% of ACR'!A:A,0))*IF(J385&gt;0,IF(P385&gt;0,$R$4*MAX(P385-W385,0),0),0)/J385,2),0))</f>
        <v>1.48</v>
      </c>
      <c r="AJ385" s="45">
        <f t="shared" si="140"/>
        <v>75898.245549609768</v>
      </c>
      <c r="AK385" s="45">
        <f t="shared" si="140"/>
        <v>663342.27259673772</v>
      </c>
      <c r="AL385" s="47">
        <f t="shared" si="141"/>
        <v>3.21</v>
      </c>
      <c r="AM385" s="47">
        <f t="shared" si="141"/>
        <v>2.56</v>
      </c>
      <c r="AN385" s="87">
        <f>IFERROR(INDEX(FeeCalc!P:P,MATCH(C385,FeeCalc!F:F,0)),0)</f>
        <v>1268613.4808494218</v>
      </c>
      <c r="AO385" s="87">
        <f>IFERROR(INDEX(FeeCalc!S:S,MATCH(C385,FeeCalc!F:F,0)),0)</f>
        <v>78343.388217821353</v>
      </c>
      <c r="AP385" s="87">
        <f t="shared" si="142"/>
        <v>1346956.8690672431</v>
      </c>
      <c r="AQ385" s="72">
        <f t="shared" si="143"/>
        <v>571556.90216504142</v>
      </c>
      <c r="AR385" s="72">
        <f t="shared" si="144"/>
        <v>285778.45108252071</v>
      </c>
      <c r="AS385" s="72">
        <f t="shared" si="145"/>
        <v>285778.45108252071</v>
      </c>
      <c r="AT385" s="72">
        <f>IFERROR(IFERROR(INDEX('2023 IP UPL Data'!L:L,MATCH(A:A,'2023 IP UPL Data'!B:B,0)),INDEX('2023 IMD UPL Data'!I:I,MATCH(A:A,'2023 IMD UPL Data'!B:B,0))),0)</f>
        <v>91186.108433734946</v>
      </c>
      <c r="AU385" s="72">
        <f>IFERROR(IF(F383="IMD",0,INDEX('2023 OP UPL Data'!J:J,MATCH(A:A,'2023 OP UPL Data'!B:B,0))),0)</f>
        <v>215498.07831325301</v>
      </c>
      <c r="AV385" s="45">
        <f t="shared" si="146"/>
        <v>306684.18674698798</v>
      </c>
      <c r="AW385" s="72">
        <f>IFERROR(IFERROR(INDEX('2023 IP UPL Data'!M:M,MATCH(A:A,'2023 IP UPL Data'!B:B,0)),INDEX('2023 IMD UPL Data'!K:K,MATCH(A:A,'2023 IMD UPL Data'!B:B,0))),0)</f>
        <v>291734.7</v>
      </c>
      <c r="AX385" s="72">
        <f>IFERROR(IF(F383="IMD",0,INDEX('2023 OP UPL Data'!L:L,MATCH(A:A,'2023 OP UPL Data'!B:B,0))),0)</f>
        <v>826000.39</v>
      </c>
      <c r="AY385" s="45">
        <f t="shared" si="147"/>
        <v>1117735.0900000001</v>
      </c>
      <c r="AZ385" s="72">
        <v>249371.86339876513</v>
      </c>
      <c r="BA385" s="72">
        <v>1654608.4869314474</v>
      </c>
      <c r="BB385" s="72">
        <f t="shared" si="148"/>
        <v>204059.47799601301</v>
      </c>
      <c r="BC385" s="72">
        <f t="shared" si="148"/>
        <v>1170547.9096311252</v>
      </c>
      <c r="BD385" s="72">
        <f t="shared" si="149"/>
        <v>1374607.3876271383</v>
      </c>
      <c r="BE385" s="94">
        <f t="shared" si="150"/>
        <v>0</v>
      </c>
      <c r="BF385" s="94">
        <f t="shared" si="150"/>
        <v>828608.09693144739</v>
      </c>
      <c r="BG385" s="73">
        <f>IFERROR(INDEX('2023 IP UPL Data'!K:K,MATCH(A385,'2023 IP UPL Data'!B:B,0)),0)</f>
        <v>0</v>
      </c>
    </row>
    <row r="386" spans="1:59">
      <c r="A386" s="124" t="s">
        <v>962</v>
      </c>
      <c r="B386" s="149" t="s">
        <v>962</v>
      </c>
      <c r="C386" s="31" t="s">
        <v>963</v>
      </c>
      <c r="D386" s="181" t="s">
        <v>963</v>
      </c>
      <c r="E386" s="144" t="s">
        <v>2975</v>
      </c>
      <c r="F386" s="120" t="s">
        <v>2768</v>
      </c>
      <c r="G386" s="120" t="s">
        <v>1489</v>
      </c>
      <c r="H386" s="43" t="str">
        <f t="shared" si="130"/>
        <v>Rural MRSA Central</v>
      </c>
      <c r="I386" s="45">
        <f>INDEX(FeeCalc!M:M,MATCH(C:C,FeeCalc!F:F,0))</f>
        <v>112033.38275893584</v>
      </c>
      <c r="J386" s="45">
        <f>INDEX(FeeCalc!L:L,MATCH(C:C,FeeCalc!F:F,0))</f>
        <v>925676.00439434254</v>
      </c>
      <c r="K386" s="45">
        <f t="shared" si="131"/>
        <v>1037709.3871532783</v>
      </c>
      <c r="L386" s="45">
        <f>IFERROR(IFERROR(INDEX('2023 IP UPL Data'!N:N,MATCH(A:A,'2023 IP UPL Data'!B:B,0)),INDEX('2023 IMD UPL Data'!M:M,MATCH(A:A,'2023 IMD UPL Data'!B:B,0))),0)</f>
        <v>-271402.16848983394</v>
      </c>
      <c r="M386" s="45">
        <f>IFERROR((IF(F386="IMD",0,INDEX('2023 OP UPL Data'!M:M,MATCH(A:A,'2023 OP UPL Data'!B:B,0)))),0)</f>
        <v>297849.82052980131</v>
      </c>
      <c r="N386" s="45">
        <f t="shared" si="132"/>
        <v>26447.652039967361</v>
      </c>
      <c r="O386" s="45">
        <v>252249.48273274471</v>
      </c>
      <c r="P386" s="45">
        <v>2157917.6544810589</v>
      </c>
      <c r="Q386" s="45">
        <f t="shared" si="133"/>
        <v>2410167.1372138038</v>
      </c>
      <c r="R386" s="45" t="str">
        <f t="shared" si="134"/>
        <v>Yes</v>
      </c>
      <c r="S386" s="46" t="str">
        <f t="shared" si="134"/>
        <v>Yes</v>
      </c>
      <c r="T386" s="47">
        <f>ROUND(INDEX(Summary!H:H,MATCH(H:H,Summary!A:A,0)),2)</f>
        <v>0</v>
      </c>
      <c r="U386" s="47">
        <f>ROUND(INDEX(Summary!I:I,MATCH(H:H,Summary!A:A,0)),2)</f>
        <v>0.17</v>
      </c>
      <c r="V386" s="85">
        <f t="shared" si="135"/>
        <v>0</v>
      </c>
      <c r="W386" s="85">
        <f t="shared" si="135"/>
        <v>157364.92074703824</v>
      </c>
      <c r="X386" s="45">
        <f t="shared" si="136"/>
        <v>157364.92074703824</v>
      </c>
      <c r="Y386" s="45" t="s">
        <v>3223</v>
      </c>
      <c r="Z386" s="45" t="str">
        <f t="shared" si="137"/>
        <v>No</v>
      </c>
      <c r="AA386" s="45" t="str">
        <f t="shared" si="137"/>
        <v>Yes</v>
      </c>
      <c r="AB386" s="45" t="str">
        <f t="shared" si="138"/>
        <v>Yes</v>
      </c>
      <c r="AC386" s="86">
        <f t="shared" si="151"/>
        <v>1.57</v>
      </c>
      <c r="AD386" s="86">
        <f t="shared" si="152"/>
        <v>1.51</v>
      </c>
      <c r="AE386" s="45">
        <f t="shared" si="153"/>
        <v>175892.41093152927</v>
      </c>
      <c r="AF386" s="45">
        <f t="shared" si="153"/>
        <v>1397770.7666354573</v>
      </c>
      <c r="AG386" s="45">
        <f t="shared" si="139"/>
        <v>1573663.1775669865</v>
      </c>
      <c r="AH386" s="47">
        <f>IF(Y386="No",0,IFERROR(ROUNDDOWN(INDEX('90% of ACR'!K:K,MATCH(H:H,'90% of ACR'!A:A,0))*IF(I386&gt;0,IF(O386&gt;0,$R$4*MAX(O386-V386,0),0),0)/I386,2),0))</f>
        <v>0</v>
      </c>
      <c r="AI386" s="86">
        <f>IF(Y386="No",0,IFERROR(ROUNDDOWN(INDEX('90% of ACR'!R:R,MATCH(H:H,'90% of ACR'!A:A,0))*IF(J386&gt;0,IF(P386&gt;0,$R$4*MAX(P386-W386,0),0),0)/J386,2),0))</f>
        <v>1.5</v>
      </c>
      <c r="AJ386" s="45">
        <f t="shared" si="140"/>
        <v>0</v>
      </c>
      <c r="AK386" s="45">
        <f t="shared" si="140"/>
        <v>1388514.0065915138</v>
      </c>
      <c r="AL386" s="47">
        <f t="shared" si="141"/>
        <v>0</v>
      </c>
      <c r="AM386" s="47">
        <f t="shared" si="141"/>
        <v>1.67</v>
      </c>
      <c r="AN386" s="87">
        <f>IFERROR(INDEX(FeeCalc!P:P,MATCH(C386,FeeCalc!F:F,0)),0)</f>
        <v>1545878.927338552</v>
      </c>
      <c r="AO386" s="87">
        <f>IFERROR(INDEX(FeeCalc!S:S,MATCH(C386,FeeCalc!F:F,0)),0)</f>
        <v>94979.99461089338</v>
      </c>
      <c r="AP386" s="87">
        <f t="shared" si="142"/>
        <v>1640858.9219494453</v>
      </c>
      <c r="AQ386" s="72">
        <f t="shared" si="143"/>
        <v>696268.94806865207</v>
      </c>
      <c r="AR386" s="72">
        <f t="shared" si="144"/>
        <v>348134.47403432603</v>
      </c>
      <c r="AS386" s="72">
        <f t="shared" si="145"/>
        <v>348134.47403432603</v>
      </c>
      <c r="AT386" s="72">
        <f>IFERROR(IFERROR(INDEX('2023 IP UPL Data'!L:L,MATCH(A:A,'2023 IP UPL Data'!B:B,0)),INDEX('2023 IMD UPL Data'!I:I,MATCH(A:A,'2023 IMD UPL Data'!B:B,0))),0)</f>
        <v>478423.64848983398</v>
      </c>
      <c r="AU386" s="72">
        <f>IFERROR(IF(F384="IMD",0,INDEX('2023 OP UPL Data'!J:J,MATCH(A:A,'2023 OP UPL Data'!B:B,0))),0)</f>
        <v>269384.87947019865</v>
      </c>
      <c r="AV386" s="45">
        <f t="shared" si="146"/>
        <v>747808.52796003269</v>
      </c>
      <c r="AW386" s="72">
        <f>IFERROR(IFERROR(INDEX('2023 IP UPL Data'!M:M,MATCH(A:A,'2023 IP UPL Data'!B:B,0)),INDEX('2023 IMD UPL Data'!K:K,MATCH(A:A,'2023 IMD UPL Data'!B:B,0))),0)</f>
        <v>207021.48</v>
      </c>
      <c r="AX386" s="72">
        <f>IFERROR(IF(F384="IMD",0,INDEX('2023 OP UPL Data'!L:L,MATCH(A:A,'2023 OP UPL Data'!B:B,0))),0)</f>
        <v>567234.69999999995</v>
      </c>
      <c r="AY386" s="45">
        <f t="shared" si="147"/>
        <v>774256.17999999993</v>
      </c>
      <c r="AZ386" s="72">
        <v>730673.1312225787</v>
      </c>
      <c r="BA386" s="72">
        <v>2427302.5339512578</v>
      </c>
      <c r="BB386" s="72">
        <f t="shared" si="148"/>
        <v>730673.1312225787</v>
      </c>
      <c r="BC386" s="72">
        <f t="shared" si="148"/>
        <v>2269937.6132042194</v>
      </c>
      <c r="BD386" s="72">
        <f t="shared" si="149"/>
        <v>3000610.7444267981</v>
      </c>
      <c r="BE386" s="94">
        <f t="shared" si="150"/>
        <v>523651.65122257872</v>
      </c>
      <c r="BF386" s="94">
        <f t="shared" si="150"/>
        <v>1860067.8339512579</v>
      </c>
      <c r="BG386" s="73">
        <f>IFERROR(INDEX('2023 IP UPL Data'!K:K,MATCH(A386,'2023 IP UPL Data'!B:B,0)),0)</f>
        <v>0</v>
      </c>
    </row>
    <row r="387" spans="1:59">
      <c r="A387" s="124" t="s">
        <v>716</v>
      </c>
      <c r="B387" s="149" t="s">
        <v>716</v>
      </c>
      <c r="C387" s="31" t="s">
        <v>717</v>
      </c>
      <c r="D387" s="181" t="s">
        <v>717</v>
      </c>
      <c r="E387" s="144" t="s">
        <v>2855</v>
      </c>
      <c r="F387" s="120" t="s">
        <v>2768</v>
      </c>
      <c r="G387" s="120" t="s">
        <v>227</v>
      </c>
      <c r="H387" s="43" t="str">
        <f t="shared" si="130"/>
        <v>Rural MRSA West</v>
      </c>
      <c r="I387" s="45">
        <f>INDEX(FeeCalc!M:M,MATCH(C:C,FeeCalc!F:F,0))</f>
        <v>0</v>
      </c>
      <c r="J387" s="45">
        <f>INDEX(FeeCalc!L:L,MATCH(C:C,FeeCalc!F:F,0))</f>
        <v>99682.243537696166</v>
      </c>
      <c r="K387" s="45">
        <f t="shared" si="131"/>
        <v>99682.243537696166</v>
      </c>
      <c r="L387" s="45">
        <f>IFERROR(IFERROR(INDEX('2023 IP UPL Data'!N:N,MATCH(A:A,'2023 IP UPL Data'!B:B,0)),INDEX('2023 IMD UPL Data'!M:M,MATCH(A:A,'2023 IMD UPL Data'!B:B,0))),0)</f>
        <v>0</v>
      </c>
      <c r="M387" s="45">
        <f>IFERROR((IF(F387="IMD",0,INDEX('2023 OP UPL Data'!M:M,MATCH(A:A,'2023 OP UPL Data'!B:B,0)))),0)</f>
        <v>71052.782750000013</v>
      </c>
      <c r="N387" s="45">
        <f t="shared" si="132"/>
        <v>71052.782750000013</v>
      </c>
      <c r="O387" s="45">
        <v>0</v>
      </c>
      <c r="P387" s="45">
        <v>21945.156630164296</v>
      </c>
      <c r="Q387" s="45">
        <f t="shared" si="133"/>
        <v>21945.156630164296</v>
      </c>
      <c r="R387" s="45" t="str">
        <f t="shared" si="134"/>
        <v>No</v>
      </c>
      <c r="S387" s="46" t="str">
        <f t="shared" si="134"/>
        <v>Yes</v>
      </c>
      <c r="T387" s="47">
        <f>ROUND(INDEX(Summary!H:H,MATCH(H:H,Summary!A:A,0)),2)</f>
        <v>0</v>
      </c>
      <c r="U387" s="47">
        <f>ROUND(INDEX(Summary!I:I,MATCH(H:H,Summary!A:A,0)),2)</f>
        <v>0.28999999999999998</v>
      </c>
      <c r="V387" s="85">
        <f t="shared" si="135"/>
        <v>0</v>
      </c>
      <c r="W387" s="85">
        <f t="shared" si="135"/>
        <v>28907.850625931886</v>
      </c>
      <c r="X387" s="45">
        <f t="shared" si="136"/>
        <v>28907.850625931886</v>
      </c>
      <c r="Y387" s="45" t="s">
        <v>3223</v>
      </c>
      <c r="Z387" s="45" t="str">
        <f t="shared" si="137"/>
        <v>No</v>
      </c>
      <c r="AA387" s="45" t="str">
        <f t="shared" si="137"/>
        <v>No</v>
      </c>
      <c r="AB387" s="45" t="str">
        <f t="shared" si="138"/>
        <v>No</v>
      </c>
      <c r="AC387" s="86">
        <f t="shared" si="151"/>
        <v>0</v>
      </c>
      <c r="AD387" s="86">
        <f t="shared" si="152"/>
        <v>0</v>
      </c>
      <c r="AE387" s="45">
        <f t="shared" si="153"/>
        <v>0</v>
      </c>
      <c r="AF387" s="45">
        <f t="shared" si="153"/>
        <v>0</v>
      </c>
      <c r="AG387" s="45">
        <f t="shared" si="139"/>
        <v>0</v>
      </c>
      <c r="AH387" s="47">
        <f>IF(Y387="No",0,IFERROR(ROUNDDOWN(INDEX('90% of ACR'!K:K,MATCH(H:H,'90% of ACR'!A:A,0))*IF(I387&gt;0,IF(O387&gt;0,$R$4*MAX(O387-V387,0),0),0)/I387,2),0))</f>
        <v>0</v>
      </c>
      <c r="AI387" s="86">
        <f>IF(Y387="No",0,IFERROR(ROUNDDOWN(INDEX('90% of ACR'!R:R,MATCH(H:H,'90% of ACR'!A:A,0))*IF(J387&gt;0,IF(P387&gt;0,$R$4*MAX(P387-W387,0),0),0)/J387,2),0))</f>
        <v>0</v>
      </c>
      <c r="AJ387" s="45">
        <f t="shared" si="140"/>
        <v>0</v>
      </c>
      <c r="AK387" s="45">
        <f t="shared" si="140"/>
        <v>0</v>
      </c>
      <c r="AL387" s="47">
        <f t="shared" si="141"/>
        <v>0</v>
      </c>
      <c r="AM387" s="47">
        <f t="shared" si="141"/>
        <v>0.28999999999999998</v>
      </c>
      <c r="AN387" s="87">
        <f>IFERROR(INDEX(FeeCalc!P:P,MATCH(C387,FeeCalc!F:F,0)),0)</f>
        <v>28907.850625931886</v>
      </c>
      <c r="AO387" s="87">
        <f>IFERROR(INDEX(FeeCalc!S:S,MATCH(C387,FeeCalc!F:F,0)),0)</f>
        <v>1773.5750119645641</v>
      </c>
      <c r="AP387" s="87">
        <f t="shared" si="142"/>
        <v>30681.425637896449</v>
      </c>
      <c r="AQ387" s="72">
        <f t="shared" si="143"/>
        <v>13019.110703779877</v>
      </c>
      <c r="AR387" s="72">
        <f t="shared" si="144"/>
        <v>6509.5553518899387</v>
      </c>
      <c r="AS387" s="72">
        <f t="shared" si="145"/>
        <v>6509.5553518899387</v>
      </c>
      <c r="AT387" s="72">
        <f>IFERROR(IFERROR(INDEX('2023 IP UPL Data'!L:L,MATCH(A:A,'2023 IP UPL Data'!B:B,0)),INDEX('2023 IMD UPL Data'!I:I,MATCH(A:A,'2023 IMD UPL Data'!B:B,0))),0)</f>
        <v>0</v>
      </c>
      <c r="AU387" s="72">
        <f>IFERROR(IF(F385="IMD",0,INDEX('2023 OP UPL Data'!J:J,MATCH(A:A,'2023 OP UPL Data'!B:B,0))),0)</f>
        <v>36270.307249999991</v>
      </c>
      <c r="AV387" s="45">
        <f t="shared" si="146"/>
        <v>36270.307249999991</v>
      </c>
      <c r="AW387" s="72">
        <f>IFERROR(IFERROR(INDEX('2023 IP UPL Data'!M:M,MATCH(A:A,'2023 IP UPL Data'!B:B,0)),INDEX('2023 IMD UPL Data'!K:K,MATCH(A:A,'2023 IMD UPL Data'!B:B,0))),0)</f>
        <v>0</v>
      </c>
      <c r="AX387" s="72">
        <f>IFERROR(IF(F385="IMD",0,INDEX('2023 OP UPL Data'!L:L,MATCH(A:A,'2023 OP UPL Data'!B:B,0))),0)</f>
        <v>107323.09</v>
      </c>
      <c r="AY387" s="45">
        <f t="shared" si="147"/>
        <v>107323.09</v>
      </c>
      <c r="AZ387" s="72">
        <v>0</v>
      </c>
      <c r="BA387" s="72">
        <v>58215.463880164287</v>
      </c>
      <c r="BB387" s="72">
        <f t="shared" si="148"/>
        <v>0</v>
      </c>
      <c r="BC387" s="72">
        <f t="shared" si="148"/>
        <v>29307.613254232401</v>
      </c>
      <c r="BD387" s="72">
        <f t="shared" si="149"/>
        <v>29307.613254232401</v>
      </c>
      <c r="BE387" s="94">
        <f t="shared" si="150"/>
        <v>0</v>
      </c>
      <c r="BF387" s="94">
        <f t="shared" si="150"/>
        <v>0</v>
      </c>
      <c r="BG387" s="73">
        <f>IFERROR(INDEX('2023 IP UPL Data'!K:K,MATCH(A387,'2023 IP UPL Data'!B:B,0)),0)</f>
        <v>0</v>
      </c>
    </row>
    <row r="388" spans="1:59" ht="25.5">
      <c r="A388" s="124" t="s">
        <v>2792</v>
      </c>
      <c r="B388" s="149" t="s">
        <v>2792</v>
      </c>
      <c r="C388" s="31" t="s">
        <v>2793</v>
      </c>
      <c r="D388" s="181" t="s">
        <v>2793</v>
      </c>
      <c r="E388" s="144" t="s">
        <v>3157</v>
      </c>
      <c r="F388" s="120" t="s">
        <v>3389</v>
      </c>
      <c r="G388" s="120" t="s">
        <v>1189</v>
      </c>
      <c r="H388" s="43" t="str">
        <f t="shared" si="130"/>
        <v>State-owned IMD El Paso</v>
      </c>
      <c r="I388" s="45">
        <f>INDEX(FeeCalc!M:M,MATCH(C:C,FeeCalc!F:F,0))</f>
        <v>65431.453357749066</v>
      </c>
      <c r="J388" s="45">
        <f>INDEX(FeeCalc!L:L,MATCH(C:C,FeeCalc!F:F,0))</f>
        <v>0</v>
      </c>
      <c r="K388" s="45">
        <f t="shared" si="131"/>
        <v>65431.453357749066</v>
      </c>
      <c r="L388" s="45">
        <f>IFERROR(IFERROR(INDEX('2023 IP UPL Data'!N:N,MATCH(A:A,'2023 IP UPL Data'!B:B,0)),INDEX('2023 IMD UPL Data'!M:M,MATCH(A:A,'2023 IMD UPL Data'!B:B,0))),0)</f>
        <v>186991.35</v>
      </c>
      <c r="M388" s="45">
        <f>IFERROR((IF(F388="IMD",0,INDEX('2023 OP UPL Data'!M:M,MATCH(A:A,'2023 OP UPL Data'!B:B,0)))),0)</f>
        <v>0</v>
      </c>
      <c r="N388" s="45">
        <f t="shared" si="132"/>
        <v>186991.35</v>
      </c>
      <c r="O388" s="45">
        <v>82917.929984556977</v>
      </c>
      <c r="P388" s="45">
        <v>0</v>
      </c>
      <c r="Q388" s="45">
        <f t="shared" si="133"/>
        <v>82917.929984556977</v>
      </c>
      <c r="R388" s="45" t="str">
        <f t="shared" si="134"/>
        <v>Yes</v>
      </c>
      <c r="S388" s="46" t="str">
        <f t="shared" si="134"/>
        <v>No</v>
      </c>
      <c r="T388" s="47">
        <f>ROUND(INDEX(Summary!H:H,MATCH(H:H,Summary!A:A,0)),2)</f>
        <v>2.86</v>
      </c>
      <c r="U388" s="47">
        <f>ROUND(INDEX(Summary!I:I,MATCH(H:H,Summary!A:A,0)),2)</f>
        <v>0</v>
      </c>
      <c r="V388" s="85">
        <f t="shared" si="135"/>
        <v>187133.95660316231</v>
      </c>
      <c r="W388" s="85">
        <f t="shared" si="135"/>
        <v>0</v>
      </c>
      <c r="X388" s="45">
        <f t="shared" si="136"/>
        <v>187133.95660316231</v>
      </c>
      <c r="Y388" s="45" t="s">
        <v>3223</v>
      </c>
      <c r="Z388" s="45" t="str">
        <f t="shared" si="137"/>
        <v>No</v>
      </c>
      <c r="AA388" s="45" t="str">
        <f t="shared" si="137"/>
        <v>No</v>
      </c>
      <c r="AB388" s="45" t="str">
        <f t="shared" si="138"/>
        <v>No</v>
      </c>
      <c r="AC388" s="86">
        <f t="shared" si="151"/>
        <v>0</v>
      </c>
      <c r="AD388" s="86">
        <f t="shared" si="152"/>
        <v>0</v>
      </c>
      <c r="AE388" s="45">
        <f t="shared" si="153"/>
        <v>0</v>
      </c>
      <c r="AF388" s="45">
        <f t="shared" si="153"/>
        <v>0</v>
      </c>
      <c r="AG388" s="45">
        <f t="shared" si="139"/>
        <v>0</v>
      </c>
      <c r="AH388" s="47">
        <f>IF(Y388="No",0,IFERROR(ROUNDDOWN(INDEX('90% of ACR'!K:K,MATCH(H:H,'90% of ACR'!A:A,0))*IF(I388&gt;0,IF(O388&gt;0,$R$4*MAX(O388-V388,0),0),0)/I388,2),0))</f>
        <v>0</v>
      </c>
      <c r="AI388" s="86">
        <f>IF(Y388="No",0,IFERROR(ROUNDDOWN(INDEX('90% of ACR'!R:R,MATCH(H:H,'90% of ACR'!A:A,0))*IF(J388&gt;0,IF(P388&gt;0,$R$4*MAX(P388-W388,0),0),0)/J388,2),0))</f>
        <v>0</v>
      </c>
      <c r="AJ388" s="45">
        <f t="shared" si="140"/>
        <v>0</v>
      </c>
      <c r="AK388" s="45">
        <f t="shared" si="140"/>
        <v>0</v>
      </c>
      <c r="AL388" s="47">
        <f t="shared" si="141"/>
        <v>2.86</v>
      </c>
      <c r="AM388" s="47">
        <f t="shared" si="141"/>
        <v>0</v>
      </c>
      <c r="AN388" s="87">
        <f>IFERROR(INDEX(FeeCalc!P:P,MATCH(C388,FeeCalc!F:F,0)),0)</f>
        <v>187133.95660316231</v>
      </c>
      <c r="AO388" s="87">
        <f>IFERROR(INDEX(FeeCalc!S:S,MATCH(C388,FeeCalc!F:F,0)),0)</f>
        <v>11416.660482421046</v>
      </c>
      <c r="AP388" s="87">
        <f t="shared" si="142"/>
        <v>198550.61708558336</v>
      </c>
      <c r="AQ388" s="72">
        <f t="shared" si="143"/>
        <v>84251.380449159769</v>
      </c>
      <c r="AR388" s="72">
        <f t="shared" si="144"/>
        <v>42125.690224579885</v>
      </c>
      <c r="AS388" s="72">
        <f t="shared" si="145"/>
        <v>42125.690224579885</v>
      </c>
      <c r="AT388" s="72">
        <f>IFERROR(IFERROR(INDEX('2023 IP UPL Data'!L:L,MATCH(A:A,'2023 IP UPL Data'!B:B,0)),INDEX('2023 IMD UPL Data'!I:I,MATCH(A:A,'2023 IMD UPL Data'!B:B,0))),0)</f>
        <v>639124.85</v>
      </c>
      <c r="AU388" s="72">
        <f>IFERROR(IF(F386="IMD",0,INDEX('2023 OP UPL Data'!J:J,MATCH(A:A,'2023 OP UPL Data'!B:B,0))),0)</f>
        <v>0</v>
      </c>
      <c r="AV388" s="45">
        <f t="shared" si="146"/>
        <v>639124.85</v>
      </c>
      <c r="AW388" s="72">
        <f>IFERROR(IFERROR(INDEX('2023 IP UPL Data'!M:M,MATCH(A:A,'2023 IP UPL Data'!B:B,0)),INDEX('2023 IMD UPL Data'!K:K,MATCH(A:A,'2023 IMD UPL Data'!B:B,0))),0)</f>
        <v>186991.35</v>
      </c>
      <c r="AX388" s="72">
        <f>IFERROR(IF(F386="IMD",0,INDEX('2023 OP UPL Data'!L:L,MATCH(A:A,'2023 OP UPL Data'!B:B,0))),0)</f>
        <v>0</v>
      </c>
      <c r="AY388" s="45">
        <f t="shared" si="147"/>
        <v>186991.35</v>
      </c>
      <c r="AZ388" s="72">
        <v>722042.77998455695</v>
      </c>
      <c r="BA388" s="72">
        <v>0</v>
      </c>
      <c r="BB388" s="72">
        <f t="shared" si="148"/>
        <v>534908.82338139461</v>
      </c>
      <c r="BC388" s="72">
        <f t="shared" si="148"/>
        <v>0</v>
      </c>
      <c r="BD388" s="72">
        <f t="shared" si="149"/>
        <v>534908.82338139461</v>
      </c>
      <c r="BE388" s="94">
        <f t="shared" si="150"/>
        <v>535051.42998455698</v>
      </c>
      <c r="BF388" s="94">
        <f t="shared" si="150"/>
        <v>0</v>
      </c>
      <c r="BG388" s="73">
        <f>IFERROR(INDEX('2023 IP UPL Data'!K:K,MATCH(A388,'2023 IP UPL Data'!B:B,0)),0)</f>
        <v>0</v>
      </c>
    </row>
    <row r="389" spans="1:59" ht="25.5">
      <c r="A389" s="124" t="s">
        <v>2798</v>
      </c>
      <c r="B389" s="149" t="s">
        <v>2798</v>
      </c>
      <c r="C389" s="31" t="s">
        <v>2799</v>
      </c>
      <c r="D389" s="181" t="s">
        <v>2799</v>
      </c>
      <c r="E389" s="144" t="s">
        <v>3358</v>
      </c>
      <c r="F389" s="120" t="s">
        <v>3389</v>
      </c>
      <c r="G389" s="120" t="s">
        <v>227</v>
      </c>
      <c r="H389" s="43" t="str">
        <f t="shared" si="130"/>
        <v>State-owned IMD MRSA West</v>
      </c>
      <c r="I389" s="45">
        <f>INDEX(FeeCalc!M:M,MATCH(C:C,FeeCalc!F:F,0))</f>
        <v>0</v>
      </c>
      <c r="J389" s="45">
        <f>INDEX(FeeCalc!L:L,MATCH(C:C,FeeCalc!F:F,0))</f>
        <v>0</v>
      </c>
      <c r="K389" s="45">
        <f t="shared" si="131"/>
        <v>0</v>
      </c>
      <c r="L389" s="45">
        <f>IFERROR(IFERROR(INDEX('2023 IP UPL Data'!N:N,MATCH(A:A,'2023 IP UPL Data'!B:B,0)),INDEX('2023 IMD UPL Data'!M:M,MATCH(A:A,'2023 IMD UPL Data'!B:B,0))),0)</f>
        <v>0</v>
      </c>
      <c r="M389" s="45">
        <f>IFERROR((IF(F389="IMD",0,INDEX('2023 OP UPL Data'!M:M,MATCH(A:A,'2023 OP UPL Data'!B:B,0)))),0)</f>
        <v>0</v>
      </c>
      <c r="N389" s="45">
        <f t="shared" si="132"/>
        <v>0</v>
      </c>
      <c r="O389" s="45">
        <v>0</v>
      </c>
      <c r="P389" s="45">
        <v>0</v>
      </c>
      <c r="Q389" s="45">
        <f t="shared" si="133"/>
        <v>0</v>
      </c>
      <c r="R389" s="45" t="str">
        <f t="shared" si="134"/>
        <v>No</v>
      </c>
      <c r="S389" s="46" t="str">
        <f t="shared" si="134"/>
        <v>No</v>
      </c>
      <c r="T389" s="47">
        <f>ROUND(INDEX(Summary!H:H,MATCH(H:H,Summary!A:A,0)),2)</f>
        <v>1.06</v>
      </c>
      <c r="U389" s="47">
        <f>ROUND(INDEX(Summary!I:I,MATCH(H:H,Summary!A:A,0)),2)</f>
        <v>0</v>
      </c>
      <c r="V389" s="85">
        <f t="shared" si="135"/>
        <v>0</v>
      </c>
      <c r="W389" s="85">
        <f t="shared" si="135"/>
        <v>0</v>
      </c>
      <c r="X389" s="45">
        <f t="shared" si="136"/>
        <v>0</v>
      </c>
      <c r="Y389" s="45" t="s">
        <v>3223</v>
      </c>
      <c r="Z389" s="45" t="str">
        <f t="shared" si="137"/>
        <v>No</v>
      </c>
      <c r="AA389" s="45" t="str">
        <f t="shared" si="137"/>
        <v>No</v>
      </c>
      <c r="AB389" s="45" t="str">
        <f t="shared" si="138"/>
        <v>No</v>
      </c>
      <c r="AC389" s="86">
        <f t="shared" si="151"/>
        <v>0</v>
      </c>
      <c r="AD389" s="86">
        <f t="shared" si="152"/>
        <v>0</v>
      </c>
      <c r="AE389" s="45">
        <f t="shared" si="153"/>
        <v>0</v>
      </c>
      <c r="AF389" s="45">
        <f t="shared" si="153"/>
        <v>0</v>
      </c>
      <c r="AG389" s="45">
        <f t="shared" si="139"/>
        <v>0</v>
      </c>
      <c r="AH389" s="47">
        <f>IF(Y389="No",0,IFERROR(ROUNDDOWN(INDEX('90% of ACR'!K:K,MATCH(H:H,'90% of ACR'!A:A,0))*IF(I389&gt;0,IF(O389&gt;0,$R$4*MAX(O389-V389,0),0),0)/I389,2),0))</f>
        <v>0</v>
      </c>
      <c r="AI389" s="86">
        <f>IF(Y389="No",0,IFERROR(ROUNDDOWN(INDEX('90% of ACR'!R:R,MATCH(H:H,'90% of ACR'!A:A,0))*IF(J389&gt;0,IF(P389&gt;0,$R$4*MAX(P389-W389,0),0),0)/J389,2),0))</f>
        <v>0</v>
      </c>
      <c r="AJ389" s="45">
        <f t="shared" si="140"/>
        <v>0</v>
      </c>
      <c r="AK389" s="45">
        <f t="shared" si="140"/>
        <v>0</v>
      </c>
      <c r="AL389" s="47">
        <f t="shared" si="141"/>
        <v>1.06</v>
      </c>
      <c r="AM389" s="47">
        <f t="shared" si="141"/>
        <v>0</v>
      </c>
      <c r="AN389" s="87">
        <f>IFERROR(INDEX(FeeCalc!P:P,MATCH(C389,FeeCalc!F:F,0)),0)</f>
        <v>0</v>
      </c>
      <c r="AO389" s="87">
        <f>IFERROR(INDEX(FeeCalc!S:S,MATCH(C389,FeeCalc!F:F,0)),0)</f>
        <v>0</v>
      </c>
      <c r="AP389" s="87">
        <f t="shared" si="142"/>
        <v>0</v>
      </c>
      <c r="AQ389" s="72">
        <f t="shared" si="143"/>
        <v>0</v>
      </c>
      <c r="AR389" s="72">
        <f t="shared" si="144"/>
        <v>0</v>
      </c>
      <c r="AS389" s="72">
        <f t="shared" si="145"/>
        <v>0</v>
      </c>
      <c r="AT389" s="72">
        <f>IFERROR(IFERROR(INDEX('2023 IP UPL Data'!L:L,MATCH(A:A,'2023 IP UPL Data'!B:B,0)),INDEX('2023 IMD UPL Data'!I:I,MATCH(A:A,'2023 IMD UPL Data'!B:B,0))),0)</f>
        <v>0</v>
      </c>
      <c r="AU389" s="72">
        <f>IFERROR(IF(F387="IMD",0,INDEX('2023 OP UPL Data'!J:J,MATCH(A:A,'2023 OP UPL Data'!B:B,0))),0)</f>
        <v>0</v>
      </c>
      <c r="AV389" s="45">
        <f t="shared" si="146"/>
        <v>0</v>
      </c>
      <c r="AW389" s="72">
        <f>IFERROR(IFERROR(INDEX('2023 IP UPL Data'!M:M,MATCH(A:A,'2023 IP UPL Data'!B:B,0)),INDEX('2023 IMD UPL Data'!K:K,MATCH(A:A,'2023 IMD UPL Data'!B:B,0))),0)</f>
        <v>0</v>
      </c>
      <c r="AX389" s="72">
        <f>IFERROR(IF(F387="IMD",0,INDEX('2023 OP UPL Data'!L:L,MATCH(A:A,'2023 OP UPL Data'!B:B,0))),0)</f>
        <v>0</v>
      </c>
      <c r="AY389" s="45">
        <f t="shared" si="147"/>
        <v>0</v>
      </c>
      <c r="AZ389" s="72">
        <v>0</v>
      </c>
      <c r="BA389" s="72">
        <v>0</v>
      </c>
      <c r="BB389" s="72">
        <f t="shared" si="148"/>
        <v>0</v>
      </c>
      <c r="BC389" s="72">
        <f t="shared" si="148"/>
        <v>0</v>
      </c>
      <c r="BD389" s="72">
        <f t="shared" si="149"/>
        <v>0</v>
      </c>
      <c r="BE389" s="94">
        <f t="shared" si="150"/>
        <v>0</v>
      </c>
      <c r="BF389" s="94">
        <f t="shared" si="150"/>
        <v>0</v>
      </c>
      <c r="BG389" s="73">
        <f>IFERROR(INDEX('2023 IP UPL Data'!K:K,MATCH(A389,'2023 IP UPL Data'!B:B,0)),0)</f>
        <v>0</v>
      </c>
    </row>
    <row r="390" spans="1:59" ht="25.5">
      <c r="A390" s="124" t="s">
        <v>2783</v>
      </c>
      <c r="B390" s="149" t="s">
        <v>2783</v>
      </c>
      <c r="C390" s="31" t="s">
        <v>2784</v>
      </c>
      <c r="D390" s="181" t="s">
        <v>2784</v>
      </c>
      <c r="E390" s="144" t="s">
        <v>3359</v>
      </c>
      <c r="F390" s="120" t="s">
        <v>3389</v>
      </c>
      <c r="G390" s="120" t="s">
        <v>227</v>
      </c>
      <c r="H390" s="43" t="str">
        <f t="shared" ref="H390:H398" si="154">CONCATENATE(F390," ",G390)</f>
        <v>State-owned IMD MRSA West</v>
      </c>
      <c r="I390" s="45">
        <f>INDEX(FeeCalc!M:M,MATCH(C:C,FeeCalc!F:F,0))</f>
        <v>115830.17969177544</v>
      </c>
      <c r="J390" s="45">
        <f>INDEX(FeeCalc!L:L,MATCH(C:C,FeeCalc!F:F,0))</f>
        <v>0</v>
      </c>
      <c r="K390" s="45">
        <f t="shared" ref="K390:K398" si="155">I390+J390</f>
        <v>115830.17969177544</v>
      </c>
      <c r="L390" s="45">
        <f>IFERROR(IFERROR(INDEX('2023 IP UPL Data'!N:N,MATCH(A:A,'2023 IP UPL Data'!B:B,0)),INDEX('2023 IMD UPL Data'!M:M,MATCH(A:A,'2023 IMD UPL Data'!B:B,0))),0)</f>
        <v>267885.37</v>
      </c>
      <c r="M390" s="45">
        <f>IFERROR((IF(F390="IMD",0,INDEX('2023 OP UPL Data'!M:M,MATCH(A:A,'2023 OP UPL Data'!B:B,0)))),0)</f>
        <v>0</v>
      </c>
      <c r="N390" s="45">
        <f t="shared" ref="N390:N398" si="156">+L390+M390</f>
        <v>267885.37</v>
      </c>
      <c r="O390" s="45">
        <v>75375.192911392485</v>
      </c>
      <c r="P390" s="45">
        <v>0</v>
      </c>
      <c r="Q390" s="45">
        <f t="shared" ref="Q390:Q398" si="157">O390+P390</f>
        <v>75375.192911392485</v>
      </c>
      <c r="R390" s="45" t="str">
        <f t="shared" ref="R390:S398" si="158">IF(O390&gt;0,"Yes","No")</f>
        <v>Yes</v>
      </c>
      <c r="S390" s="46" t="str">
        <f t="shared" si="158"/>
        <v>No</v>
      </c>
      <c r="T390" s="47">
        <f>ROUND(INDEX(Summary!H:H,MATCH(H:H,Summary!A:A,0)),2)</f>
        <v>1.06</v>
      </c>
      <c r="U390" s="47">
        <f>ROUND(INDEX(Summary!I:I,MATCH(H:H,Summary!A:A,0)),2)</f>
        <v>0</v>
      </c>
      <c r="V390" s="85">
        <f t="shared" ref="V390:W398" si="159">+T390*I390</f>
        <v>122779.99047328197</v>
      </c>
      <c r="W390" s="85">
        <f t="shared" si="159"/>
        <v>0</v>
      </c>
      <c r="X390" s="45">
        <f t="shared" ref="X390:X398" si="160">+V390+W390</f>
        <v>122779.99047328197</v>
      </c>
      <c r="Y390" s="45" t="s">
        <v>3223</v>
      </c>
      <c r="Z390" s="45" t="str">
        <f t="shared" ref="Z390:AA398" si="161">IF(AJ390&gt;0,"Yes","No")</f>
        <v>No</v>
      </c>
      <c r="AA390" s="45" t="str">
        <f t="shared" si="161"/>
        <v>No</v>
      </c>
      <c r="AB390" s="45" t="str">
        <f t="shared" ref="AB390:AB398" si="162">IF(AG390&gt;0,"Yes","No")</f>
        <v>No</v>
      </c>
      <c r="AC390" s="86">
        <f t="shared" si="151"/>
        <v>0</v>
      </c>
      <c r="AD390" s="86">
        <f t="shared" si="152"/>
        <v>0</v>
      </c>
      <c r="AE390" s="45">
        <f t="shared" si="153"/>
        <v>0</v>
      </c>
      <c r="AF390" s="45">
        <f t="shared" si="153"/>
        <v>0</v>
      </c>
      <c r="AG390" s="45">
        <f t="shared" ref="AG390:AG398" si="163">AE390+AF390</f>
        <v>0</v>
      </c>
      <c r="AH390" s="47">
        <f>IF(Y390="No",0,IFERROR(ROUNDDOWN(INDEX('90% of ACR'!K:K,MATCH(H:H,'90% of ACR'!A:A,0))*IF(I390&gt;0,IF(O390&gt;0,$R$4*MAX(O390-V390,0),0),0)/I390,2),0))</f>
        <v>0</v>
      </c>
      <c r="AI390" s="86">
        <f>IF(Y390="No",0,IFERROR(ROUNDDOWN(INDEX('90% of ACR'!R:R,MATCH(H:H,'90% of ACR'!A:A,0))*IF(J390&gt;0,IF(P390&gt;0,$R$4*MAX(P390-W390,0),0),0)/J390,2),0))</f>
        <v>0</v>
      </c>
      <c r="AJ390" s="45">
        <f t="shared" ref="AJ390:AK398" si="164">I390*AH390</f>
        <v>0</v>
      </c>
      <c r="AK390" s="45">
        <f t="shared" si="164"/>
        <v>0</v>
      </c>
      <c r="AL390" s="47">
        <f t="shared" ref="AL390:AM398" si="165">T390+AH390</f>
        <v>1.06</v>
      </c>
      <c r="AM390" s="47">
        <f t="shared" si="165"/>
        <v>0</v>
      </c>
      <c r="AN390" s="87">
        <f>IFERROR(INDEX(FeeCalc!P:P,MATCH(C390,FeeCalc!F:F,0)),0)</f>
        <v>122779.99047328197</v>
      </c>
      <c r="AO390" s="87">
        <f>IFERROR(INDEX(FeeCalc!S:S,MATCH(C390,FeeCalc!F:F,0)),0)</f>
        <v>7490.5564479721097</v>
      </c>
      <c r="AP390" s="87">
        <f t="shared" ref="AP390:AP398" si="166">AN390+AO390</f>
        <v>130270.54692125408</v>
      </c>
      <c r="AQ390" s="72">
        <f t="shared" ref="AQ390:AQ398" si="167">$AQ$3*AP390*1.08</f>
        <v>55277.961716189588</v>
      </c>
      <c r="AR390" s="72">
        <f t="shared" ref="AR390:AR398" si="168">AQ390*0.5</f>
        <v>27638.980858094794</v>
      </c>
      <c r="AS390" s="72">
        <f t="shared" ref="AS390:AS398" si="169">AR390</f>
        <v>27638.980858094794</v>
      </c>
      <c r="AT390" s="72">
        <f>IFERROR(IFERROR(INDEX('2023 IP UPL Data'!L:L,MATCH(A:A,'2023 IP UPL Data'!B:B,0)),INDEX('2023 IMD UPL Data'!I:I,MATCH(A:A,'2023 IMD UPL Data'!B:B,0))),0)</f>
        <v>522575.44</v>
      </c>
      <c r="AU390" s="72">
        <f>IFERROR(IF(F388="IMD",0,INDEX('2023 OP UPL Data'!J:J,MATCH(A:A,'2023 OP UPL Data'!B:B,0))),0)</f>
        <v>0</v>
      </c>
      <c r="AV390" s="45">
        <f t="shared" ref="AV390:AV398" si="170">AT390+AU390</f>
        <v>522575.44</v>
      </c>
      <c r="AW390" s="72">
        <f>IFERROR(IFERROR(INDEX('2023 IP UPL Data'!M:M,MATCH(A:A,'2023 IP UPL Data'!B:B,0)),INDEX('2023 IMD UPL Data'!K:K,MATCH(A:A,'2023 IMD UPL Data'!B:B,0))),0)</f>
        <v>267885.37</v>
      </c>
      <c r="AX390" s="72">
        <f>IFERROR(IF(F388="IMD",0,INDEX('2023 OP UPL Data'!L:L,MATCH(A:A,'2023 OP UPL Data'!B:B,0))),0)</f>
        <v>0</v>
      </c>
      <c r="AY390" s="45">
        <f t="shared" ref="AY390:AY398" si="171">AW390+AX390</f>
        <v>267885.37</v>
      </c>
      <c r="AZ390" s="72">
        <v>597950.63291139249</v>
      </c>
      <c r="BA390" s="72">
        <v>0</v>
      </c>
      <c r="BB390" s="72">
        <f t="shared" ref="BB390:BC398" si="172">IF(AZ390&gt;V390,AZ390-V390,0)</f>
        <v>475170.64243811055</v>
      </c>
      <c r="BC390" s="72">
        <f t="shared" si="172"/>
        <v>0</v>
      </c>
      <c r="BD390" s="72">
        <f t="shared" ref="BD390:BD398" si="173">IF(AZ390+BA390&gt;X390,AZ390+BA390-X390,0)</f>
        <v>475170.64243811055</v>
      </c>
      <c r="BE390" s="94">
        <f t="shared" ref="BE390:BF398" si="174">IF(AZ390&gt;AW390,AZ390-AW390,0)</f>
        <v>330065.26291139249</v>
      </c>
      <c r="BF390" s="94">
        <f t="shared" si="174"/>
        <v>0</v>
      </c>
      <c r="BG390" s="73">
        <f>IFERROR(INDEX('2023 IP UPL Data'!K:K,MATCH(A390,'2023 IP UPL Data'!B:B,0)),0)</f>
        <v>0</v>
      </c>
    </row>
    <row r="391" spans="1:59" ht="25.5">
      <c r="A391" s="124" t="s">
        <v>1268</v>
      </c>
      <c r="B391" s="149" t="s">
        <v>1268</v>
      </c>
      <c r="C391" s="31" t="s">
        <v>1269</v>
      </c>
      <c r="D391" s="181" t="s">
        <v>1269</v>
      </c>
      <c r="E391" s="144" t="s">
        <v>3415</v>
      </c>
      <c r="F391" s="120" t="s">
        <v>3069</v>
      </c>
      <c r="G391" s="120" t="s">
        <v>1530</v>
      </c>
      <c r="H391" s="43" t="str">
        <f t="shared" si="154"/>
        <v>Non-state-owned IMD Lubbock</v>
      </c>
      <c r="I391" s="45">
        <f>INDEX(FeeCalc!M:M,MATCH(C:C,FeeCalc!F:F,0))</f>
        <v>41516.563742992228</v>
      </c>
      <c r="J391" s="45">
        <f>INDEX(FeeCalc!L:L,MATCH(C:C,FeeCalc!F:F,0))</f>
        <v>0</v>
      </c>
      <c r="K391" s="45">
        <f t="shared" si="155"/>
        <v>41516.563742992228</v>
      </c>
      <c r="L391" s="45">
        <f>IFERROR(IFERROR(INDEX('2023 IP UPL Data'!N:N,MATCH(A:A,'2023 IP UPL Data'!B:B,0)),INDEX('2023 IMD UPL Data'!M:M,MATCH(A:A,'2023 IMD UPL Data'!B:B,0))),0)</f>
        <v>256211.76</v>
      </c>
      <c r="M391" s="45">
        <f>IFERROR((IF(F391="IMD",0,INDEX('2023 OP UPL Data'!M:M,MATCH(A:A,'2023 OP UPL Data'!B:B,0)))),0)</f>
        <v>0</v>
      </c>
      <c r="N391" s="45">
        <f t="shared" si="156"/>
        <v>256211.76</v>
      </c>
      <c r="O391" s="45">
        <v>204273.79427685781</v>
      </c>
      <c r="P391" s="45">
        <v>0</v>
      </c>
      <c r="Q391" s="45">
        <f t="shared" si="157"/>
        <v>204273.79427685781</v>
      </c>
      <c r="R391" s="45" t="str">
        <f t="shared" si="158"/>
        <v>Yes</v>
      </c>
      <c r="S391" s="46" t="str">
        <f t="shared" si="158"/>
        <v>No</v>
      </c>
      <c r="T391" s="47">
        <f>ROUND(INDEX(Summary!H:H,MATCH(H:H,Summary!A:A,0)),2)</f>
        <v>6.17</v>
      </c>
      <c r="U391" s="47">
        <f>ROUND(INDEX(Summary!I:I,MATCH(H:H,Summary!A:A,0)),2)</f>
        <v>0</v>
      </c>
      <c r="V391" s="85">
        <f t="shared" si="159"/>
        <v>256157.19829426205</v>
      </c>
      <c r="W391" s="85">
        <f t="shared" si="159"/>
        <v>0</v>
      </c>
      <c r="X391" s="45">
        <f t="shared" si="160"/>
        <v>256157.19829426205</v>
      </c>
      <c r="Y391" s="45" t="s">
        <v>3223</v>
      </c>
      <c r="Z391" s="45" t="str">
        <f t="shared" si="161"/>
        <v>No</v>
      </c>
      <c r="AA391" s="45" t="str">
        <f t="shared" si="161"/>
        <v>No</v>
      </c>
      <c r="AB391" s="45" t="str">
        <f t="shared" si="162"/>
        <v>No</v>
      </c>
      <c r="AC391" s="86">
        <f t="shared" ref="AC391:AC398" si="175">IF(Y391="No",0,IFERROR(ROUND(IF(I391&gt;0,IF(O391&gt;0,$R$4*MAX(O391-V391,0),0),0)/I391,2),0))</f>
        <v>0</v>
      </c>
      <c r="AD391" s="86">
        <f t="shared" ref="AD391:AD398" si="176">IF(Y391="No",0,IFERROR(ROUND(IF(J391&gt;0,IF(P391&gt;0,$R$4*MAX(P391-W391,0),0),0)/J391,2),0))</f>
        <v>0</v>
      </c>
      <c r="AE391" s="45">
        <f t="shared" ref="AE391:AF398" si="177">AC391*I391</f>
        <v>0</v>
      </c>
      <c r="AF391" s="45">
        <f t="shared" si="177"/>
        <v>0</v>
      </c>
      <c r="AG391" s="45">
        <f t="shared" si="163"/>
        <v>0</v>
      </c>
      <c r="AH391" s="47">
        <f>IF(Y391="No",0,IFERROR(ROUNDDOWN(INDEX('90% of ACR'!K:K,MATCH(H:H,'90% of ACR'!A:A,0))*IF(I391&gt;0,IF(O391&gt;0,$R$4*MAX(O391-V391,0),0),0)/I391,2),0))</f>
        <v>0</v>
      </c>
      <c r="AI391" s="86">
        <f>IF(Y391="No",0,IFERROR(ROUNDDOWN(INDEX('90% of ACR'!R:R,MATCH(H:H,'90% of ACR'!A:A,0))*IF(J391&gt;0,IF(P391&gt;0,$R$4*MAX(P391-W391,0),0),0)/J391,2),0))</f>
        <v>0</v>
      </c>
      <c r="AJ391" s="45">
        <f t="shared" si="164"/>
        <v>0</v>
      </c>
      <c r="AK391" s="45">
        <f t="shared" si="164"/>
        <v>0</v>
      </c>
      <c r="AL391" s="47">
        <f t="shared" si="165"/>
        <v>6.17</v>
      </c>
      <c r="AM391" s="47">
        <f t="shared" si="165"/>
        <v>0</v>
      </c>
      <c r="AN391" s="87">
        <f>IFERROR(INDEX(FeeCalc!P:P,MATCH(C391,FeeCalc!F:F,0)),0)</f>
        <v>256157.19829426205</v>
      </c>
      <c r="AO391" s="87">
        <f>IFERROR(INDEX(FeeCalc!S:S,MATCH(C391,FeeCalc!F:F,0)),0)</f>
        <v>15627.627482143307</v>
      </c>
      <c r="AP391" s="87">
        <f t="shared" si="166"/>
        <v>271784.82577640534</v>
      </c>
      <c r="AQ391" s="72">
        <f t="shared" si="167"/>
        <v>115326.99869135364</v>
      </c>
      <c r="AR391" s="72">
        <f t="shared" si="168"/>
        <v>57663.499345676821</v>
      </c>
      <c r="AS391" s="72">
        <f t="shared" si="169"/>
        <v>57663.499345676821</v>
      </c>
      <c r="AT391" s="72">
        <f>IFERROR(IFERROR(INDEX('2023 IP UPL Data'!L:L,MATCH(A:A,'2023 IP UPL Data'!B:B,0)),INDEX('2023 IMD UPL Data'!I:I,MATCH(A:A,'2023 IMD UPL Data'!B:B,0))),0)</f>
        <v>263580.24</v>
      </c>
      <c r="AU391" s="72">
        <f>IFERROR(IF(F389="IMD",0,INDEX('2023 OP UPL Data'!J:J,MATCH(A:A,'2023 OP UPL Data'!B:B,0))),0)</f>
        <v>0</v>
      </c>
      <c r="AV391" s="45">
        <f t="shared" si="170"/>
        <v>263580.24</v>
      </c>
      <c r="AW391" s="72">
        <f>IFERROR(IFERROR(INDEX('2023 IP UPL Data'!M:M,MATCH(A:A,'2023 IP UPL Data'!B:B,0)),INDEX('2023 IMD UPL Data'!K:K,MATCH(A:A,'2023 IMD UPL Data'!B:B,0))),0)</f>
        <v>256211.76</v>
      </c>
      <c r="AX391" s="72">
        <f>IFERROR(IF(F389="IMD",0,INDEX('2023 OP UPL Data'!L:L,MATCH(A:A,'2023 OP UPL Data'!B:B,0))),0)</f>
        <v>0</v>
      </c>
      <c r="AY391" s="45">
        <f t="shared" si="171"/>
        <v>256211.76</v>
      </c>
      <c r="AZ391" s="72">
        <v>467854.0342768578</v>
      </c>
      <c r="BA391" s="72">
        <v>0</v>
      </c>
      <c r="BB391" s="72">
        <f t="shared" si="172"/>
        <v>211696.83598259575</v>
      </c>
      <c r="BC391" s="72">
        <f t="shared" si="172"/>
        <v>0</v>
      </c>
      <c r="BD391" s="72">
        <f t="shared" si="173"/>
        <v>211696.83598259575</v>
      </c>
      <c r="BE391" s="94">
        <f t="shared" si="174"/>
        <v>211642.27427685779</v>
      </c>
      <c r="BF391" s="94">
        <f t="shared" si="174"/>
        <v>0</v>
      </c>
      <c r="BG391" s="73">
        <f>IFERROR(INDEX('2023 IP UPL Data'!K:K,MATCH(A391,'2023 IP UPL Data'!B:B,0)),0)</f>
        <v>0</v>
      </c>
    </row>
    <row r="392" spans="1:59" ht="25.5">
      <c r="A392" s="124" t="s">
        <v>2785</v>
      </c>
      <c r="B392" s="149" t="s">
        <v>2785</v>
      </c>
      <c r="C392" s="31" t="s">
        <v>2786</v>
      </c>
      <c r="D392" s="181" t="s">
        <v>2786</v>
      </c>
      <c r="E392" s="144" t="s">
        <v>3360</v>
      </c>
      <c r="F392" s="120" t="s">
        <v>3389</v>
      </c>
      <c r="G392" s="120" t="s">
        <v>227</v>
      </c>
      <c r="H392" s="43" t="str">
        <f t="shared" si="154"/>
        <v>State-owned IMD MRSA West</v>
      </c>
      <c r="I392" s="45">
        <f>INDEX(FeeCalc!M:M,MATCH(C:C,FeeCalc!F:F,0))</f>
        <v>151732.05124263777</v>
      </c>
      <c r="J392" s="45">
        <f>INDEX(FeeCalc!L:L,MATCH(C:C,FeeCalc!F:F,0))</f>
        <v>0</v>
      </c>
      <c r="K392" s="45">
        <f t="shared" si="155"/>
        <v>151732.05124263777</v>
      </c>
      <c r="L392" s="45">
        <f>IFERROR(IFERROR(INDEX('2023 IP UPL Data'!N:N,MATCH(A:A,'2023 IP UPL Data'!B:B,0)),INDEX('2023 IMD UPL Data'!M:M,MATCH(A:A,'2023 IMD UPL Data'!B:B,0))),0)</f>
        <v>132.51</v>
      </c>
      <c r="M392" s="45">
        <f>IFERROR((IF(F392="IMD",0,INDEX('2023 OP UPL Data'!M:M,MATCH(A:A,'2023 OP UPL Data'!B:B,0)))),0)</f>
        <v>0</v>
      </c>
      <c r="N392" s="45">
        <f t="shared" si="156"/>
        <v>132.51</v>
      </c>
      <c r="O392" s="45">
        <v>-285.95967637732269</v>
      </c>
      <c r="P392" s="45">
        <v>0</v>
      </c>
      <c r="Q392" s="45">
        <f t="shared" si="157"/>
        <v>-285.95967637732269</v>
      </c>
      <c r="R392" s="45" t="str">
        <f t="shared" si="158"/>
        <v>No</v>
      </c>
      <c r="S392" s="46" t="str">
        <f t="shared" si="158"/>
        <v>No</v>
      </c>
      <c r="T392" s="47">
        <f>ROUND(INDEX(Summary!H:H,MATCH(H:H,Summary!A:A,0)),2)</f>
        <v>1.06</v>
      </c>
      <c r="U392" s="47">
        <f>ROUND(INDEX(Summary!I:I,MATCH(H:H,Summary!A:A,0)),2)</f>
        <v>0</v>
      </c>
      <c r="V392" s="85">
        <f t="shared" si="159"/>
        <v>160835.97431719603</v>
      </c>
      <c r="W392" s="85">
        <f t="shared" si="159"/>
        <v>0</v>
      </c>
      <c r="X392" s="45">
        <f t="shared" si="160"/>
        <v>160835.97431719603</v>
      </c>
      <c r="Y392" s="45" t="s">
        <v>3223</v>
      </c>
      <c r="Z392" s="45" t="str">
        <f t="shared" si="161"/>
        <v>No</v>
      </c>
      <c r="AA392" s="45" t="str">
        <f t="shared" si="161"/>
        <v>No</v>
      </c>
      <c r="AB392" s="45" t="str">
        <f t="shared" si="162"/>
        <v>No</v>
      </c>
      <c r="AC392" s="86">
        <f t="shared" si="175"/>
        <v>0</v>
      </c>
      <c r="AD392" s="86">
        <f t="shared" si="176"/>
        <v>0</v>
      </c>
      <c r="AE392" s="45">
        <f t="shared" si="177"/>
        <v>0</v>
      </c>
      <c r="AF392" s="45">
        <f t="shared" si="177"/>
        <v>0</v>
      </c>
      <c r="AG392" s="45">
        <f t="shared" si="163"/>
        <v>0</v>
      </c>
      <c r="AH392" s="47">
        <f>IF(Y392="No",0,IFERROR(ROUNDDOWN(INDEX('90% of ACR'!K:K,MATCH(H:H,'90% of ACR'!A:A,0))*IF(I392&gt;0,IF(O392&gt;0,$R$4*MAX(O392-V392,0),0),0)/I392,2),0))</f>
        <v>0</v>
      </c>
      <c r="AI392" s="86">
        <f>IF(Y392="No",0,IFERROR(ROUNDDOWN(INDEX('90% of ACR'!R:R,MATCH(H:H,'90% of ACR'!A:A,0))*IF(J392&gt;0,IF(P392&gt;0,$R$4*MAX(P392-W392,0),0),0)/J392,2),0))</f>
        <v>0</v>
      </c>
      <c r="AJ392" s="45">
        <f t="shared" si="164"/>
        <v>0</v>
      </c>
      <c r="AK392" s="45">
        <f t="shared" si="164"/>
        <v>0</v>
      </c>
      <c r="AL392" s="47">
        <f t="shared" si="165"/>
        <v>1.06</v>
      </c>
      <c r="AM392" s="47">
        <f t="shared" si="165"/>
        <v>0</v>
      </c>
      <c r="AN392" s="87">
        <f>IFERROR(INDEX(FeeCalc!P:P,MATCH(C392,FeeCalc!F:F,0)),0)</f>
        <v>160835.97431719603</v>
      </c>
      <c r="AO392" s="87">
        <f>IFERROR(INDEX(FeeCalc!S:S,MATCH(C392,FeeCalc!F:F,0)),0)</f>
        <v>9812.2742952135523</v>
      </c>
      <c r="AP392" s="87">
        <f t="shared" si="166"/>
        <v>170648.24861240957</v>
      </c>
      <c r="AQ392" s="72">
        <f t="shared" si="167"/>
        <v>72411.512630200988</v>
      </c>
      <c r="AR392" s="72">
        <f t="shared" si="168"/>
        <v>36205.756315100494</v>
      </c>
      <c r="AS392" s="72">
        <f t="shared" si="169"/>
        <v>36205.756315100494</v>
      </c>
      <c r="AT392" s="72">
        <f>IFERROR(IFERROR(INDEX('2023 IP UPL Data'!L:L,MATCH(A:A,'2023 IP UPL Data'!B:B,0)),INDEX('2023 IMD UPL Data'!I:I,MATCH(A:A,'2023 IMD UPL Data'!B:B,0))),0)</f>
        <v>551.27</v>
      </c>
      <c r="AU392" s="72">
        <f>IFERROR(IF(F390="IMD",0,INDEX('2023 OP UPL Data'!J:J,MATCH(A:A,'2023 OP UPL Data'!B:B,0))),0)</f>
        <v>0</v>
      </c>
      <c r="AV392" s="45">
        <f t="shared" si="170"/>
        <v>551.27</v>
      </c>
      <c r="AW392" s="72">
        <f>IFERROR(IFERROR(INDEX('2023 IP UPL Data'!M:M,MATCH(A:A,'2023 IP UPL Data'!B:B,0)),INDEX('2023 IMD UPL Data'!K:K,MATCH(A:A,'2023 IMD UPL Data'!B:B,0))),0)</f>
        <v>132.51</v>
      </c>
      <c r="AX392" s="72">
        <f>IFERROR(IF(F390="IMD",0,INDEX('2023 OP UPL Data'!L:L,MATCH(A:A,'2023 OP UPL Data'!B:B,0))),0)</f>
        <v>0</v>
      </c>
      <c r="AY392" s="45">
        <f t="shared" si="171"/>
        <v>132.51</v>
      </c>
      <c r="AZ392" s="72">
        <v>265.31032362267729</v>
      </c>
      <c r="BA392" s="72">
        <v>0</v>
      </c>
      <c r="BB392" s="72">
        <f t="shared" si="172"/>
        <v>0</v>
      </c>
      <c r="BC392" s="72">
        <f t="shared" si="172"/>
        <v>0</v>
      </c>
      <c r="BD392" s="72">
        <f t="shared" si="173"/>
        <v>0</v>
      </c>
      <c r="BE392" s="94">
        <f t="shared" si="174"/>
        <v>132.8003236226773</v>
      </c>
      <c r="BF392" s="94">
        <f t="shared" si="174"/>
        <v>0</v>
      </c>
      <c r="BG392" s="73">
        <f>IFERROR(INDEX('2023 IP UPL Data'!K:K,MATCH(A392,'2023 IP UPL Data'!B:B,0)),0)</f>
        <v>0</v>
      </c>
    </row>
    <row r="393" spans="1:59" ht="25.5">
      <c r="A393" s="124" t="s">
        <v>2496</v>
      </c>
      <c r="B393" s="149" t="s">
        <v>2496</v>
      </c>
      <c r="C393" s="31" t="s">
        <v>2787</v>
      </c>
      <c r="D393" s="181" t="s">
        <v>2787</v>
      </c>
      <c r="E393" s="144" t="s">
        <v>3361</v>
      </c>
      <c r="F393" s="120" t="s">
        <v>3389</v>
      </c>
      <c r="G393" s="120" t="s">
        <v>1517</v>
      </c>
      <c r="H393" s="43" t="str">
        <f t="shared" si="154"/>
        <v>State-owned IMD Hidalgo</v>
      </c>
      <c r="I393" s="45">
        <f>INDEX(FeeCalc!M:M,MATCH(C:C,FeeCalc!F:F,0))</f>
        <v>8586.3988397434005</v>
      </c>
      <c r="J393" s="45">
        <f>INDEX(FeeCalc!L:L,MATCH(C:C,FeeCalc!F:F,0))</f>
        <v>0</v>
      </c>
      <c r="K393" s="45">
        <f t="shared" si="155"/>
        <v>8586.3988397434005</v>
      </c>
      <c r="L393" s="45">
        <f>IFERROR(IFERROR(INDEX('2023 IP UPL Data'!N:N,MATCH(A:A,'2023 IP UPL Data'!B:B,0)),INDEX('2023 IMD UPL Data'!M:M,MATCH(A:A,'2023 IMD UPL Data'!B:B,0))),0)</f>
        <v>338292.1</v>
      </c>
      <c r="M393" s="45">
        <f>IFERROR((IF(F393="IMD",0,INDEX('2023 OP UPL Data'!M:M,MATCH(A:A,'2023 OP UPL Data'!B:B,0)))),0)</f>
        <v>0</v>
      </c>
      <c r="N393" s="45">
        <f t="shared" si="156"/>
        <v>338292.1</v>
      </c>
      <c r="O393" s="45">
        <v>-284402.18792552117</v>
      </c>
      <c r="P393" s="45">
        <v>0</v>
      </c>
      <c r="Q393" s="45">
        <f t="shared" si="157"/>
        <v>-284402.18792552117</v>
      </c>
      <c r="R393" s="45" t="str">
        <f t="shared" si="158"/>
        <v>No</v>
      </c>
      <c r="S393" s="46" t="str">
        <f t="shared" si="158"/>
        <v>No</v>
      </c>
      <c r="T393" s="47">
        <f>ROUND(INDEX(Summary!H:H,MATCH(H:H,Summary!A:A,0)),2)</f>
        <v>39.4</v>
      </c>
      <c r="U393" s="47">
        <f>ROUND(INDEX(Summary!I:I,MATCH(H:H,Summary!A:A,0)),2)</f>
        <v>0</v>
      </c>
      <c r="V393" s="85">
        <f t="shared" si="159"/>
        <v>338304.11428588995</v>
      </c>
      <c r="W393" s="85">
        <f t="shared" si="159"/>
        <v>0</v>
      </c>
      <c r="X393" s="45">
        <f t="shared" si="160"/>
        <v>338304.11428588995</v>
      </c>
      <c r="Y393" s="45" t="s">
        <v>3223</v>
      </c>
      <c r="Z393" s="45" t="str">
        <f t="shared" si="161"/>
        <v>No</v>
      </c>
      <c r="AA393" s="45" t="str">
        <f t="shared" si="161"/>
        <v>No</v>
      </c>
      <c r="AB393" s="45" t="str">
        <f t="shared" si="162"/>
        <v>No</v>
      </c>
      <c r="AC393" s="86">
        <f t="shared" si="175"/>
        <v>0</v>
      </c>
      <c r="AD393" s="86">
        <f t="shared" si="176"/>
        <v>0</v>
      </c>
      <c r="AE393" s="45">
        <f t="shared" si="177"/>
        <v>0</v>
      </c>
      <c r="AF393" s="45">
        <f t="shared" si="177"/>
        <v>0</v>
      </c>
      <c r="AG393" s="45">
        <f t="shared" si="163"/>
        <v>0</v>
      </c>
      <c r="AH393" s="47">
        <f>IF(Y393="No",0,IFERROR(ROUNDDOWN(INDEX('90% of ACR'!K:K,MATCH(H:H,'90% of ACR'!A:A,0))*IF(I393&gt;0,IF(O393&gt;0,$R$4*MAX(O393-V393,0),0),0)/I393,2),0))</f>
        <v>0</v>
      </c>
      <c r="AI393" s="86">
        <f>IF(Y393="No",0,IFERROR(ROUNDDOWN(INDEX('90% of ACR'!R:R,MATCH(H:H,'90% of ACR'!A:A,0))*IF(J393&gt;0,IF(P393&gt;0,$R$4*MAX(P393-W393,0),0),0)/J393,2),0))</f>
        <v>0</v>
      </c>
      <c r="AJ393" s="45">
        <f t="shared" si="164"/>
        <v>0</v>
      </c>
      <c r="AK393" s="45">
        <f t="shared" si="164"/>
        <v>0</v>
      </c>
      <c r="AL393" s="47">
        <f t="shared" si="165"/>
        <v>39.4</v>
      </c>
      <c r="AM393" s="47">
        <f t="shared" si="165"/>
        <v>0</v>
      </c>
      <c r="AN393" s="87">
        <f>IFERROR(INDEX(FeeCalc!P:P,MATCH(C393,FeeCalc!F:F,0)),0)</f>
        <v>338304.11428588995</v>
      </c>
      <c r="AO393" s="87">
        <f>IFERROR(INDEX(FeeCalc!S:S,MATCH(C393,FeeCalc!F:F,0)),0)</f>
        <v>20639.243046619282</v>
      </c>
      <c r="AP393" s="87">
        <f t="shared" si="166"/>
        <v>358943.35733250924</v>
      </c>
      <c r="AQ393" s="72">
        <f t="shared" si="167"/>
        <v>152311.15270361834</v>
      </c>
      <c r="AR393" s="72">
        <f t="shared" si="168"/>
        <v>76155.57635180917</v>
      </c>
      <c r="AS393" s="72">
        <f t="shared" si="169"/>
        <v>76155.57635180917</v>
      </c>
      <c r="AT393" s="72">
        <f>IFERROR(IFERROR(INDEX('2023 IP UPL Data'!L:L,MATCH(A:A,'2023 IP UPL Data'!B:B,0)),INDEX('2023 IMD UPL Data'!I:I,MATCH(A:A,'2023 IMD UPL Data'!B:B,0))),0)</f>
        <v>296549.3</v>
      </c>
      <c r="AU393" s="72">
        <f>IFERROR(IF(F391="IMD",0,INDEX('2023 OP UPL Data'!J:J,MATCH(A:A,'2023 OP UPL Data'!B:B,0))),0)</f>
        <v>0</v>
      </c>
      <c r="AV393" s="45">
        <f t="shared" si="170"/>
        <v>296549.3</v>
      </c>
      <c r="AW393" s="72">
        <f>IFERROR(IFERROR(INDEX('2023 IP UPL Data'!M:M,MATCH(A:A,'2023 IP UPL Data'!B:B,0)),INDEX('2023 IMD UPL Data'!K:K,MATCH(A:A,'2023 IMD UPL Data'!B:B,0))),0)</f>
        <v>338292.1</v>
      </c>
      <c r="AX393" s="72">
        <f>IFERROR(IF(F391="IMD",0,INDEX('2023 OP UPL Data'!L:L,MATCH(A:A,'2023 OP UPL Data'!B:B,0))),0)</f>
        <v>0</v>
      </c>
      <c r="AY393" s="45">
        <f t="shared" si="171"/>
        <v>338292.1</v>
      </c>
      <c r="AZ393" s="72">
        <v>12147.112074478811</v>
      </c>
      <c r="BA393" s="72">
        <v>0</v>
      </c>
      <c r="BB393" s="72">
        <f t="shared" si="172"/>
        <v>0</v>
      </c>
      <c r="BC393" s="72">
        <f t="shared" si="172"/>
        <v>0</v>
      </c>
      <c r="BD393" s="72">
        <f t="shared" si="173"/>
        <v>0</v>
      </c>
      <c r="BE393" s="94">
        <f t="shared" si="174"/>
        <v>0</v>
      </c>
      <c r="BF393" s="94">
        <f t="shared" si="174"/>
        <v>0</v>
      </c>
      <c r="BG393" s="73">
        <f>IFERROR(INDEX('2023 IP UPL Data'!K:K,MATCH(A393,'2023 IP UPL Data'!B:B,0)),0)</f>
        <v>0</v>
      </c>
    </row>
    <row r="394" spans="1:59" ht="25.5">
      <c r="A394" s="124" t="s">
        <v>2788</v>
      </c>
      <c r="B394" s="149" t="s">
        <v>2788</v>
      </c>
      <c r="C394" s="31" t="s">
        <v>2789</v>
      </c>
      <c r="D394" s="181" t="s">
        <v>2789</v>
      </c>
      <c r="E394" s="144" t="s">
        <v>3149</v>
      </c>
      <c r="F394" s="120" t="s">
        <v>3389</v>
      </c>
      <c r="G394" s="120" t="s">
        <v>310</v>
      </c>
      <c r="H394" s="43" t="str">
        <f t="shared" si="154"/>
        <v>State-owned IMD MRSA Northeast</v>
      </c>
      <c r="I394" s="45">
        <f>INDEX(FeeCalc!M:M,MATCH(C:C,FeeCalc!F:F,0))</f>
        <v>0</v>
      </c>
      <c r="J394" s="45">
        <f>INDEX(FeeCalc!L:L,MATCH(C:C,FeeCalc!F:F,0))</f>
        <v>0</v>
      </c>
      <c r="K394" s="45">
        <f t="shared" si="155"/>
        <v>0</v>
      </c>
      <c r="L394" s="45">
        <f>IFERROR(IFERROR(INDEX('2023 IP UPL Data'!N:N,MATCH(A:A,'2023 IP UPL Data'!B:B,0)),INDEX('2023 IMD UPL Data'!M:M,MATCH(A:A,'2023 IMD UPL Data'!B:B,0))),0)</f>
        <v>34086.910000000003</v>
      </c>
      <c r="M394" s="45">
        <f>IFERROR((IF(F394="IMD",0,INDEX('2023 OP UPL Data'!M:M,MATCH(A:A,'2023 OP UPL Data'!B:B,0)))),0)</f>
        <v>0</v>
      </c>
      <c r="N394" s="45">
        <f t="shared" si="156"/>
        <v>34086.910000000003</v>
      </c>
      <c r="O394" s="45">
        <v>-47636.141039331182</v>
      </c>
      <c r="P394" s="45">
        <v>0</v>
      </c>
      <c r="Q394" s="45">
        <f t="shared" si="157"/>
        <v>-47636.141039331182</v>
      </c>
      <c r="R394" s="45" t="str">
        <f t="shared" si="158"/>
        <v>No</v>
      </c>
      <c r="S394" s="46" t="str">
        <f t="shared" si="158"/>
        <v>No</v>
      </c>
      <c r="T394" s="47">
        <f>ROUND(INDEX(Summary!H:H,MATCH(H:H,Summary!A:A,0)),2)</f>
        <v>0</v>
      </c>
      <c r="U394" s="47">
        <f>ROUND(INDEX(Summary!I:I,MATCH(H:H,Summary!A:A,0)),2)</f>
        <v>0</v>
      </c>
      <c r="V394" s="85">
        <f t="shared" si="159"/>
        <v>0</v>
      </c>
      <c r="W394" s="85">
        <f t="shared" si="159"/>
        <v>0</v>
      </c>
      <c r="X394" s="45">
        <f t="shared" si="160"/>
        <v>0</v>
      </c>
      <c r="Y394" s="45" t="s">
        <v>3223</v>
      </c>
      <c r="Z394" s="45" t="str">
        <f t="shared" si="161"/>
        <v>No</v>
      </c>
      <c r="AA394" s="45" t="str">
        <f t="shared" si="161"/>
        <v>No</v>
      </c>
      <c r="AB394" s="45" t="str">
        <f t="shared" si="162"/>
        <v>No</v>
      </c>
      <c r="AC394" s="86">
        <f t="shared" si="175"/>
        <v>0</v>
      </c>
      <c r="AD394" s="86">
        <f t="shared" si="176"/>
        <v>0</v>
      </c>
      <c r="AE394" s="45">
        <f t="shared" si="177"/>
        <v>0</v>
      </c>
      <c r="AF394" s="45">
        <f t="shared" si="177"/>
        <v>0</v>
      </c>
      <c r="AG394" s="45">
        <f t="shared" si="163"/>
        <v>0</v>
      </c>
      <c r="AH394" s="47">
        <f>IF(Y394="No",0,IFERROR(ROUNDDOWN(INDEX('90% of ACR'!K:K,MATCH(H:H,'90% of ACR'!A:A,0))*IF(I394&gt;0,IF(O394&gt;0,$R$4*MAX(O394-V394,0),0),0)/I394,2),0))</f>
        <v>0</v>
      </c>
      <c r="AI394" s="86">
        <f>IF(Y394="No",0,IFERROR(ROUNDDOWN(INDEX('90% of ACR'!R:R,MATCH(H:H,'90% of ACR'!A:A,0))*IF(J394&gt;0,IF(P394&gt;0,$R$4*MAX(P394-W394,0),0),0)/J394,2),0))</f>
        <v>0</v>
      </c>
      <c r="AJ394" s="45">
        <f t="shared" si="164"/>
        <v>0</v>
      </c>
      <c r="AK394" s="45">
        <f t="shared" si="164"/>
        <v>0</v>
      </c>
      <c r="AL394" s="47">
        <f t="shared" si="165"/>
        <v>0</v>
      </c>
      <c r="AM394" s="47">
        <f t="shared" si="165"/>
        <v>0</v>
      </c>
      <c r="AN394" s="87">
        <f>IFERROR(INDEX(FeeCalc!P:P,MATCH(C394,FeeCalc!F:F,0)),0)</f>
        <v>0</v>
      </c>
      <c r="AO394" s="87">
        <f>IFERROR(INDEX(FeeCalc!S:S,MATCH(C394,FeeCalc!F:F,0)),0)</f>
        <v>0</v>
      </c>
      <c r="AP394" s="87">
        <f t="shared" si="166"/>
        <v>0</v>
      </c>
      <c r="AQ394" s="72">
        <f t="shared" si="167"/>
        <v>0</v>
      </c>
      <c r="AR394" s="72">
        <f t="shared" si="168"/>
        <v>0</v>
      </c>
      <c r="AS394" s="72">
        <f t="shared" si="169"/>
        <v>0</v>
      </c>
      <c r="AT394" s="72">
        <f>IFERROR(IFERROR(INDEX('2023 IP UPL Data'!L:L,MATCH(A:A,'2023 IP UPL Data'!B:B,0)),INDEX('2023 IMD UPL Data'!I:I,MATCH(A:A,'2023 IMD UPL Data'!B:B,0))),0)</f>
        <v>107047.83</v>
      </c>
      <c r="AU394" s="72">
        <f>IFERROR(IF(F392="IMD",0,INDEX('2023 OP UPL Data'!J:J,MATCH(A:A,'2023 OP UPL Data'!B:B,0))),0)</f>
        <v>0</v>
      </c>
      <c r="AV394" s="45">
        <f t="shared" si="170"/>
        <v>107047.83</v>
      </c>
      <c r="AW394" s="72">
        <f>IFERROR(IFERROR(INDEX('2023 IP UPL Data'!M:M,MATCH(A:A,'2023 IP UPL Data'!B:B,0)),INDEX('2023 IMD UPL Data'!K:K,MATCH(A:A,'2023 IMD UPL Data'!B:B,0))),0)</f>
        <v>34086.910000000003</v>
      </c>
      <c r="AX394" s="72">
        <f>IFERROR(IF(F392="IMD",0,INDEX('2023 OP UPL Data'!L:L,MATCH(A:A,'2023 OP UPL Data'!B:B,0))),0)</f>
        <v>0</v>
      </c>
      <c r="AY394" s="45">
        <f t="shared" si="171"/>
        <v>34086.910000000003</v>
      </c>
      <c r="AZ394" s="72">
        <v>59411.68896066882</v>
      </c>
      <c r="BA394" s="72">
        <v>0</v>
      </c>
      <c r="BB394" s="72">
        <f t="shared" si="172"/>
        <v>59411.68896066882</v>
      </c>
      <c r="BC394" s="72">
        <f t="shared" si="172"/>
        <v>0</v>
      </c>
      <c r="BD394" s="72">
        <f t="shared" si="173"/>
        <v>59411.68896066882</v>
      </c>
      <c r="BE394" s="94">
        <f t="shared" si="174"/>
        <v>25324.778960668817</v>
      </c>
      <c r="BF394" s="94">
        <f t="shared" si="174"/>
        <v>0</v>
      </c>
      <c r="BG394" s="73">
        <f>IFERROR(INDEX('2023 IP UPL Data'!K:K,MATCH(A394,'2023 IP UPL Data'!B:B,0)),0)</f>
        <v>0</v>
      </c>
    </row>
    <row r="395" spans="1:59" ht="25.5">
      <c r="A395" s="124" t="s">
        <v>2790</v>
      </c>
      <c r="B395" s="149" t="s">
        <v>2790</v>
      </c>
      <c r="C395" s="31" t="s">
        <v>2791</v>
      </c>
      <c r="D395" s="181" t="s">
        <v>2791</v>
      </c>
      <c r="E395" s="144" t="s">
        <v>3162</v>
      </c>
      <c r="F395" s="120" t="s">
        <v>3389</v>
      </c>
      <c r="G395" s="120" t="s">
        <v>487</v>
      </c>
      <c r="H395" s="43" t="str">
        <f t="shared" si="154"/>
        <v>State-owned IMD Bexar</v>
      </c>
      <c r="I395" s="45">
        <f>INDEX(FeeCalc!M:M,MATCH(C:C,FeeCalc!F:F,0))</f>
        <v>2595.185427439159</v>
      </c>
      <c r="J395" s="45">
        <f>INDEX(FeeCalc!L:L,MATCH(C:C,FeeCalc!F:F,0))</f>
        <v>0</v>
      </c>
      <c r="K395" s="45">
        <f t="shared" si="155"/>
        <v>2595.185427439159</v>
      </c>
      <c r="L395" s="45">
        <f>IFERROR(IFERROR(INDEX('2023 IP UPL Data'!N:N,MATCH(A:A,'2023 IP UPL Data'!B:B,0)),INDEX('2023 IMD UPL Data'!M:M,MATCH(A:A,'2023 IMD UPL Data'!B:B,0))),0)</f>
        <v>209967.51</v>
      </c>
      <c r="M395" s="45">
        <f>IFERROR((IF(F395="IMD",0,INDEX('2023 OP UPL Data'!M:M,MATCH(A:A,'2023 OP UPL Data'!B:B,0)))),0)</f>
        <v>0</v>
      </c>
      <c r="N395" s="45">
        <f t="shared" si="156"/>
        <v>209967.51</v>
      </c>
      <c r="O395" s="45">
        <v>-26250.656469490117</v>
      </c>
      <c r="P395" s="45">
        <v>0</v>
      </c>
      <c r="Q395" s="45">
        <f t="shared" si="157"/>
        <v>-26250.656469490117</v>
      </c>
      <c r="R395" s="45" t="str">
        <f t="shared" si="158"/>
        <v>No</v>
      </c>
      <c r="S395" s="46" t="str">
        <f t="shared" si="158"/>
        <v>No</v>
      </c>
      <c r="T395" s="47">
        <f>ROUND(INDEX(Summary!H:H,MATCH(H:H,Summary!A:A,0)),2)</f>
        <v>80.91</v>
      </c>
      <c r="U395" s="47">
        <f>ROUND(INDEX(Summary!I:I,MATCH(H:H,Summary!A:A,0)),2)</f>
        <v>0</v>
      </c>
      <c r="V395" s="85">
        <f t="shared" si="159"/>
        <v>209976.45293410233</v>
      </c>
      <c r="W395" s="85">
        <f t="shared" si="159"/>
        <v>0</v>
      </c>
      <c r="X395" s="45">
        <f t="shared" si="160"/>
        <v>209976.45293410233</v>
      </c>
      <c r="Y395" s="45" t="s">
        <v>3223</v>
      </c>
      <c r="Z395" s="45" t="str">
        <f t="shared" si="161"/>
        <v>No</v>
      </c>
      <c r="AA395" s="45" t="str">
        <f t="shared" si="161"/>
        <v>No</v>
      </c>
      <c r="AB395" s="45" t="str">
        <f t="shared" si="162"/>
        <v>No</v>
      </c>
      <c r="AC395" s="86">
        <f t="shared" si="175"/>
        <v>0</v>
      </c>
      <c r="AD395" s="86">
        <f t="shared" si="176"/>
        <v>0</v>
      </c>
      <c r="AE395" s="45">
        <f t="shared" si="177"/>
        <v>0</v>
      </c>
      <c r="AF395" s="45">
        <f t="shared" si="177"/>
        <v>0</v>
      </c>
      <c r="AG395" s="45">
        <f t="shared" si="163"/>
        <v>0</v>
      </c>
      <c r="AH395" s="47">
        <f>IF(Y395="No",0,IFERROR(ROUNDDOWN(INDEX('90% of ACR'!K:K,MATCH(H:H,'90% of ACR'!A:A,0))*IF(I395&gt;0,IF(O395&gt;0,$R$4*MAX(O395-V395,0),0),0)/I395,2),0))</f>
        <v>0</v>
      </c>
      <c r="AI395" s="86">
        <f>IF(Y395="No",0,IFERROR(ROUNDDOWN(INDEX('90% of ACR'!R:R,MATCH(H:H,'90% of ACR'!A:A,0))*IF(J395&gt;0,IF(P395&gt;0,$R$4*MAX(P395-W395,0),0),0)/J395,2),0))</f>
        <v>0</v>
      </c>
      <c r="AJ395" s="45">
        <f t="shared" si="164"/>
        <v>0</v>
      </c>
      <c r="AK395" s="45">
        <f t="shared" si="164"/>
        <v>0</v>
      </c>
      <c r="AL395" s="47">
        <f t="shared" si="165"/>
        <v>80.91</v>
      </c>
      <c r="AM395" s="47">
        <f t="shared" si="165"/>
        <v>0</v>
      </c>
      <c r="AN395" s="87">
        <f>IFERROR(INDEX(FeeCalc!P:P,MATCH(C395,FeeCalc!F:F,0)),0)</f>
        <v>209976.45293410233</v>
      </c>
      <c r="AO395" s="87">
        <f>IFERROR(INDEX(FeeCalc!S:S,MATCH(C395,FeeCalc!F:F,0)),0)</f>
        <v>12810.234529136216</v>
      </c>
      <c r="AP395" s="87">
        <f t="shared" si="166"/>
        <v>222786.68746323854</v>
      </c>
      <c r="AQ395" s="72">
        <f t="shared" si="167"/>
        <v>94535.520664650947</v>
      </c>
      <c r="AR395" s="72">
        <f t="shared" si="168"/>
        <v>47267.760332325473</v>
      </c>
      <c r="AS395" s="72">
        <f t="shared" si="169"/>
        <v>47267.760332325473</v>
      </c>
      <c r="AT395" s="72">
        <f>IFERROR(IFERROR(INDEX('2023 IP UPL Data'!L:L,MATCH(A:A,'2023 IP UPL Data'!B:B,0)),INDEX('2023 IMD UPL Data'!I:I,MATCH(A:A,'2023 IMD UPL Data'!B:B,0))),0)</f>
        <v>169955.15</v>
      </c>
      <c r="AU395" s="72">
        <f>IFERROR(IF(F393="IMD",0,INDEX('2023 OP UPL Data'!J:J,MATCH(A:A,'2023 OP UPL Data'!B:B,0))),0)</f>
        <v>0</v>
      </c>
      <c r="AV395" s="45">
        <f t="shared" si="170"/>
        <v>169955.15</v>
      </c>
      <c r="AW395" s="72">
        <f>IFERROR(IFERROR(INDEX('2023 IP UPL Data'!M:M,MATCH(A:A,'2023 IP UPL Data'!B:B,0)),INDEX('2023 IMD UPL Data'!K:K,MATCH(A:A,'2023 IMD UPL Data'!B:B,0))),0)</f>
        <v>209967.51</v>
      </c>
      <c r="AX395" s="72">
        <f>IFERROR(IF(F393="IMD",0,INDEX('2023 OP UPL Data'!L:L,MATCH(A:A,'2023 OP UPL Data'!B:B,0))),0)</f>
        <v>0</v>
      </c>
      <c r="AY395" s="45">
        <f t="shared" si="171"/>
        <v>209967.51</v>
      </c>
      <c r="AZ395" s="72">
        <v>143704.49353050988</v>
      </c>
      <c r="BA395" s="72">
        <v>0</v>
      </c>
      <c r="BB395" s="72">
        <f t="shared" si="172"/>
        <v>0</v>
      </c>
      <c r="BC395" s="72">
        <f t="shared" si="172"/>
        <v>0</v>
      </c>
      <c r="BD395" s="72">
        <f t="shared" si="173"/>
        <v>0</v>
      </c>
      <c r="BE395" s="94">
        <f t="shared" si="174"/>
        <v>0</v>
      </c>
      <c r="BF395" s="94">
        <f t="shared" si="174"/>
        <v>0</v>
      </c>
      <c r="BG395" s="73">
        <f>IFERROR(INDEX('2023 IP UPL Data'!K:K,MATCH(A395,'2023 IP UPL Data'!B:B,0)),0)</f>
        <v>0</v>
      </c>
    </row>
    <row r="396" spans="1:59" ht="25.5">
      <c r="A396" s="124" t="s">
        <v>3595</v>
      </c>
      <c r="B396" s="149" t="s">
        <v>2756</v>
      </c>
      <c r="C396" s="31" t="s">
        <v>2757</v>
      </c>
      <c r="D396" s="181" t="s">
        <v>2757</v>
      </c>
      <c r="E396" s="144" t="s">
        <v>3362</v>
      </c>
      <c r="F396" s="120" t="s">
        <v>3388</v>
      </c>
      <c r="G396" s="120" t="s">
        <v>487</v>
      </c>
      <c r="H396" s="43" t="str">
        <f t="shared" si="154"/>
        <v>State-owned non-IMD Bexar</v>
      </c>
      <c r="I396" s="45">
        <f>INDEX(FeeCalc!M:M,MATCH(C:C,FeeCalc!F:F,0))</f>
        <v>0</v>
      </c>
      <c r="J396" s="45">
        <f>INDEX(FeeCalc!L:L,MATCH(C:C,FeeCalc!F:F,0))</f>
        <v>0</v>
      </c>
      <c r="K396" s="45">
        <f t="shared" si="155"/>
        <v>0</v>
      </c>
      <c r="L396" s="45">
        <f>IFERROR(IFERROR(INDEX('2023 IP UPL Data'!N:N,MATCH(A:A,'2023 IP UPL Data'!B:B,0)),INDEX('2023 IMD UPL Data'!M:M,MATCH(A:A,'2023 IMD UPL Data'!B:B,0))),0)</f>
        <v>0</v>
      </c>
      <c r="M396" s="45">
        <f>IFERROR((IF(F396="IMD",0,INDEX('2023 OP UPL Data'!M:M,MATCH(A:A,'2023 OP UPL Data'!B:B,0)))),0)</f>
        <v>0</v>
      </c>
      <c r="N396" s="45">
        <f t="shared" si="156"/>
        <v>0</v>
      </c>
      <c r="O396" s="45">
        <v>0</v>
      </c>
      <c r="P396" s="45">
        <v>0</v>
      </c>
      <c r="Q396" s="45">
        <f t="shared" si="157"/>
        <v>0</v>
      </c>
      <c r="R396" s="45" t="str">
        <f t="shared" si="158"/>
        <v>No</v>
      </c>
      <c r="S396" s="46" t="str">
        <f t="shared" si="158"/>
        <v>No</v>
      </c>
      <c r="T396" s="47">
        <f>ROUND(INDEX(Summary!H:H,MATCH(H:H,Summary!A:A,0)),2)</f>
        <v>0</v>
      </c>
      <c r="U396" s="47">
        <f>ROUND(INDEX(Summary!I:I,MATCH(H:H,Summary!A:A,0)),2)</f>
        <v>0</v>
      </c>
      <c r="V396" s="85">
        <f t="shared" si="159"/>
        <v>0</v>
      </c>
      <c r="W396" s="85">
        <f t="shared" si="159"/>
        <v>0</v>
      </c>
      <c r="X396" s="45">
        <f t="shared" si="160"/>
        <v>0</v>
      </c>
      <c r="Y396" s="45" t="s">
        <v>3223</v>
      </c>
      <c r="Z396" s="45" t="str">
        <f t="shared" si="161"/>
        <v>No</v>
      </c>
      <c r="AA396" s="45" t="str">
        <f t="shared" si="161"/>
        <v>No</v>
      </c>
      <c r="AB396" s="45" t="str">
        <f t="shared" si="162"/>
        <v>No</v>
      </c>
      <c r="AC396" s="86">
        <f t="shared" si="175"/>
        <v>0</v>
      </c>
      <c r="AD396" s="86">
        <f t="shared" si="176"/>
        <v>0</v>
      </c>
      <c r="AE396" s="45">
        <f t="shared" si="177"/>
        <v>0</v>
      </c>
      <c r="AF396" s="45">
        <f t="shared" si="177"/>
        <v>0</v>
      </c>
      <c r="AG396" s="45">
        <f t="shared" si="163"/>
        <v>0</v>
      </c>
      <c r="AH396" s="47">
        <f>IF(Y396="No",0,IFERROR(ROUNDDOWN(INDEX('90% of ACR'!K:K,MATCH(H:H,'90% of ACR'!A:A,0))*IF(I396&gt;0,IF(O396&gt;0,$R$4*MAX(O396-V396,0),0),0)/I396,2),0))</f>
        <v>0</v>
      </c>
      <c r="AI396" s="86">
        <f>IF(Y396="No",0,IFERROR(ROUNDDOWN(INDEX('90% of ACR'!R:R,MATCH(H:H,'90% of ACR'!A:A,0))*IF(J396&gt;0,IF(P396&gt;0,$R$4*MAX(P396-W396,0),0),0)/J396,2),0))</f>
        <v>0</v>
      </c>
      <c r="AJ396" s="45">
        <f t="shared" si="164"/>
        <v>0</v>
      </c>
      <c r="AK396" s="45">
        <f t="shared" si="164"/>
        <v>0</v>
      </c>
      <c r="AL396" s="47">
        <f t="shared" si="165"/>
        <v>0</v>
      </c>
      <c r="AM396" s="47">
        <f t="shared" si="165"/>
        <v>0</v>
      </c>
      <c r="AN396" s="87">
        <f>IFERROR(INDEX(FeeCalc!P:P,MATCH(C396,FeeCalc!F:F,0)),0)</f>
        <v>0</v>
      </c>
      <c r="AO396" s="87">
        <f>IFERROR(INDEX(FeeCalc!S:S,MATCH(C396,FeeCalc!F:F,0)),0)</f>
        <v>0</v>
      </c>
      <c r="AP396" s="87">
        <f t="shared" si="166"/>
        <v>0</v>
      </c>
      <c r="AQ396" s="72">
        <f t="shared" si="167"/>
        <v>0</v>
      </c>
      <c r="AR396" s="72">
        <f t="shared" si="168"/>
        <v>0</v>
      </c>
      <c r="AS396" s="72">
        <f t="shared" si="169"/>
        <v>0</v>
      </c>
      <c r="AT396" s="72">
        <f>IFERROR(IFERROR(INDEX('2023 IP UPL Data'!L:L,MATCH(A:A,'2023 IP UPL Data'!B:B,0)),INDEX('2023 IMD UPL Data'!I:I,MATCH(A:A,'2023 IMD UPL Data'!B:B,0))),0)</f>
        <v>0</v>
      </c>
      <c r="AU396" s="72">
        <f>IFERROR(IF(F394="IMD",0,INDEX('2023 OP UPL Data'!J:J,MATCH(A:A,'2023 OP UPL Data'!B:B,0))),0)</f>
        <v>0</v>
      </c>
      <c r="AV396" s="45">
        <f t="shared" si="170"/>
        <v>0</v>
      </c>
      <c r="AW396" s="72">
        <f>IFERROR(IFERROR(INDEX('2023 IP UPL Data'!M:M,MATCH(A:A,'2023 IP UPL Data'!B:B,0)),INDEX('2023 IMD UPL Data'!K:K,MATCH(A:A,'2023 IMD UPL Data'!B:B,0))),0)</f>
        <v>0</v>
      </c>
      <c r="AX396" s="72">
        <f>IFERROR(IF(F394="IMD",0,INDEX('2023 OP UPL Data'!L:L,MATCH(A:A,'2023 OP UPL Data'!B:B,0))),0)</f>
        <v>0</v>
      </c>
      <c r="AY396" s="45">
        <f t="shared" si="171"/>
        <v>0</v>
      </c>
      <c r="AZ396" s="72">
        <v>0</v>
      </c>
      <c r="BA396" s="72">
        <v>0</v>
      </c>
      <c r="BB396" s="72">
        <f t="shared" si="172"/>
        <v>0</v>
      </c>
      <c r="BC396" s="72">
        <f t="shared" si="172"/>
        <v>0</v>
      </c>
      <c r="BD396" s="72">
        <f t="shared" si="173"/>
        <v>0</v>
      </c>
      <c r="BE396" s="94">
        <f t="shared" si="174"/>
        <v>0</v>
      </c>
      <c r="BF396" s="94">
        <f t="shared" si="174"/>
        <v>0</v>
      </c>
      <c r="BG396" s="73">
        <f>IFERROR(INDEX('2023 IP UPL Data'!K:K,MATCH(A396,'2023 IP UPL Data'!B:B,0)),0)</f>
        <v>0</v>
      </c>
    </row>
    <row r="397" spans="1:59" ht="25.5">
      <c r="A397" s="124" t="s">
        <v>2794</v>
      </c>
      <c r="B397" s="149" t="s">
        <v>2794</v>
      </c>
      <c r="C397" s="31" t="s">
        <v>2795</v>
      </c>
      <c r="D397" s="181" t="s">
        <v>2795</v>
      </c>
      <c r="E397" s="144" t="s">
        <v>3161</v>
      </c>
      <c r="F397" s="120" t="s">
        <v>3389</v>
      </c>
      <c r="G397" s="120" t="s">
        <v>223</v>
      </c>
      <c r="H397" s="43" t="str">
        <f t="shared" si="154"/>
        <v>State-owned IMD Dallas</v>
      </c>
      <c r="I397" s="45">
        <f>INDEX(FeeCalc!M:M,MATCH(C:C,FeeCalc!F:F,0))</f>
        <v>157006.85230296309</v>
      </c>
      <c r="J397" s="45">
        <f>INDEX(FeeCalc!L:L,MATCH(C:C,FeeCalc!F:F,0))</f>
        <v>0</v>
      </c>
      <c r="K397" s="45">
        <f t="shared" si="155"/>
        <v>157006.85230296309</v>
      </c>
      <c r="L397" s="45">
        <f>IFERROR(IFERROR(INDEX('2023 IP UPL Data'!N:N,MATCH(A:A,'2023 IP UPL Data'!B:B,0)),INDEX('2023 IMD UPL Data'!M:M,MATCH(A:A,'2023 IMD UPL Data'!B:B,0))),0)</f>
        <v>267794.74</v>
      </c>
      <c r="M397" s="45">
        <f>IFERROR((IF(F397="IMD",0,INDEX('2023 OP UPL Data'!M:M,MATCH(A:A,'2023 OP UPL Data'!B:B,0)))),0)</f>
        <v>0</v>
      </c>
      <c r="N397" s="45">
        <f t="shared" si="156"/>
        <v>267794.74</v>
      </c>
      <c r="O397" s="45">
        <v>107427.09323974708</v>
      </c>
      <c r="P397" s="45">
        <v>0</v>
      </c>
      <c r="Q397" s="45">
        <f t="shared" si="157"/>
        <v>107427.09323974708</v>
      </c>
      <c r="R397" s="45" t="str">
        <f t="shared" si="158"/>
        <v>Yes</v>
      </c>
      <c r="S397" s="46" t="str">
        <f t="shared" si="158"/>
        <v>No</v>
      </c>
      <c r="T397" s="47">
        <f>ROUND(INDEX(Summary!H:H,MATCH(H:H,Summary!A:A,0)),2)</f>
        <v>1.71</v>
      </c>
      <c r="U397" s="47">
        <f>ROUND(INDEX(Summary!I:I,MATCH(H:H,Summary!A:A,0)),2)</f>
        <v>0</v>
      </c>
      <c r="V397" s="85">
        <f t="shared" si="159"/>
        <v>268481.7174380669</v>
      </c>
      <c r="W397" s="85">
        <f t="shared" si="159"/>
        <v>0</v>
      </c>
      <c r="X397" s="45">
        <f t="shared" si="160"/>
        <v>268481.7174380669</v>
      </c>
      <c r="Y397" s="45" t="s">
        <v>3223</v>
      </c>
      <c r="Z397" s="45" t="str">
        <f t="shared" si="161"/>
        <v>No</v>
      </c>
      <c r="AA397" s="45" t="str">
        <f t="shared" si="161"/>
        <v>No</v>
      </c>
      <c r="AB397" s="45" t="str">
        <f t="shared" si="162"/>
        <v>No</v>
      </c>
      <c r="AC397" s="86">
        <f t="shared" si="175"/>
        <v>0</v>
      </c>
      <c r="AD397" s="86">
        <f t="shared" si="176"/>
        <v>0</v>
      </c>
      <c r="AE397" s="45">
        <f t="shared" si="177"/>
        <v>0</v>
      </c>
      <c r="AF397" s="45">
        <f t="shared" si="177"/>
        <v>0</v>
      </c>
      <c r="AG397" s="45">
        <f t="shared" si="163"/>
        <v>0</v>
      </c>
      <c r="AH397" s="47">
        <f>IF(Y397="No",0,IFERROR(ROUNDDOWN(INDEX('90% of ACR'!K:K,MATCH(H:H,'90% of ACR'!A:A,0))*IF(I397&gt;0,IF(O397&gt;0,$R$4*MAX(O397-V397,0),0),0)/I397,2),0))</f>
        <v>0</v>
      </c>
      <c r="AI397" s="86">
        <f>IF(Y397="No",0,IFERROR(ROUNDDOWN(INDEX('90% of ACR'!R:R,MATCH(H:H,'90% of ACR'!A:A,0))*IF(J397&gt;0,IF(P397&gt;0,$R$4*MAX(P397-W397,0),0),0)/J397,2),0))</f>
        <v>0</v>
      </c>
      <c r="AJ397" s="45">
        <f t="shared" si="164"/>
        <v>0</v>
      </c>
      <c r="AK397" s="45">
        <f t="shared" si="164"/>
        <v>0</v>
      </c>
      <c r="AL397" s="47">
        <f t="shared" si="165"/>
        <v>1.71</v>
      </c>
      <c r="AM397" s="47">
        <f t="shared" si="165"/>
        <v>0</v>
      </c>
      <c r="AN397" s="87">
        <f>IFERROR(INDEX(FeeCalc!P:P,MATCH(C397,FeeCalc!F:F,0)),0)</f>
        <v>268481.7174380669</v>
      </c>
      <c r="AO397" s="87">
        <f>IFERROR(INDEX(FeeCalc!S:S,MATCH(C397,FeeCalc!F:F,0)),0)</f>
        <v>16379.521223012038</v>
      </c>
      <c r="AP397" s="87">
        <f t="shared" si="166"/>
        <v>284861.23866107897</v>
      </c>
      <c r="AQ397" s="72">
        <f t="shared" si="167"/>
        <v>120875.73912353299</v>
      </c>
      <c r="AR397" s="72">
        <f t="shared" si="168"/>
        <v>60437.869561766493</v>
      </c>
      <c r="AS397" s="72">
        <f t="shared" si="169"/>
        <v>60437.869561766493</v>
      </c>
      <c r="AT397" s="72">
        <f>IFERROR(IFERROR(INDEX('2023 IP UPL Data'!L:L,MATCH(A:A,'2023 IP UPL Data'!B:B,0)),INDEX('2023 IMD UPL Data'!I:I,MATCH(A:A,'2023 IMD UPL Data'!B:B,0))),0)</f>
        <v>193398.15</v>
      </c>
      <c r="AU397" s="72">
        <f>IFERROR(IF(F395="IMD",0,INDEX('2023 OP UPL Data'!J:J,MATCH(A:A,'2023 OP UPL Data'!B:B,0))),0)</f>
        <v>0</v>
      </c>
      <c r="AV397" s="45">
        <f t="shared" si="170"/>
        <v>193398.15</v>
      </c>
      <c r="AW397" s="72">
        <f>IFERROR(IFERROR(INDEX('2023 IP UPL Data'!M:M,MATCH(A:A,'2023 IP UPL Data'!B:B,0)),INDEX('2023 IMD UPL Data'!K:K,MATCH(A:A,'2023 IMD UPL Data'!B:B,0))),0)</f>
        <v>267794.74</v>
      </c>
      <c r="AX397" s="72">
        <f>IFERROR(IF(F395="IMD",0,INDEX('2023 OP UPL Data'!L:L,MATCH(A:A,'2023 OP UPL Data'!B:B,0))),0)</f>
        <v>0</v>
      </c>
      <c r="AY397" s="45">
        <f t="shared" si="171"/>
        <v>267794.74</v>
      </c>
      <c r="AZ397" s="72">
        <v>300825.24323974707</v>
      </c>
      <c r="BA397" s="72">
        <v>0</v>
      </c>
      <c r="BB397" s="72">
        <f t="shared" si="172"/>
        <v>32343.525801680167</v>
      </c>
      <c r="BC397" s="72">
        <f t="shared" si="172"/>
        <v>0</v>
      </c>
      <c r="BD397" s="72">
        <f t="shared" si="173"/>
        <v>32343.525801680167</v>
      </c>
      <c r="BE397" s="94">
        <f t="shared" si="174"/>
        <v>33030.503239747079</v>
      </c>
      <c r="BF397" s="94">
        <f t="shared" si="174"/>
        <v>0</v>
      </c>
      <c r="BG397" s="73">
        <f>IFERROR(INDEX('2023 IP UPL Data'!K:K,MATCH(A397,'2023 IP UPL Data'!B:B,0)),0)</f>
        <v>0</v>
      </c>
    </row>
    <row r="398" spans="1:59" ht="25.5">
      <c r="A398" s="124" t="s">
        <v>2796</v>
      </c>
      <c r="B398" s="149" t="s">
        <v>2796</v>
      </c>
      <c r="C398" s="31" t="s">
        <v>2797</v>
      </c>
      <c r="D398" s="181" t="s">
        <v>2797</v>
      </c>
      <c r="E398" s="144" t="s">
        <v>3363</v>
      </c>
      <c r="F398" s="120" t="s">
        <v>3389</v>
      </c>
      <c r="G398" s="120" t="s">
        <v>1489</v>
      </c>
      <c r="H398" s="43" t="str">
        <f t="shared" si="154"/>
        <v>State-owned IMD MRSA Central</v>
      </c>
      <c r="I398" s="45">
        <f>INDEX(FeeCalc!M:M,MATCH(C:C,FeeCalc!F:F,0))</f>
        <v>0</v>
      </c>
      <c r="J398" s="45">
        <f>INDEX(FeeCalc!L:L,MATCH(C:C,FeeCalc!F:F,0))</f>
        <v>0</v>
      </c>
      <c r="K398" s="45">
        <f t="shared" si="155"/>
        <v>0</v>
      </c>
      <c r="L398" s="45">
        <f>IFERROR(IFERROR(INDEX('2023 IP UPL Data'!N:N,MATCH(A:A,'2023 IP UPL Data'!B:B,0)),INDEX('2023 IMD UPL Data'!M:M,MATCH(A:A,'2023 IMD UPL Data'!B:B,0))),0)</f>
        <v>0</v>
      </c>
      <c r="M398" s="45">
        <f>IFERROR((IF(F398="IMD",0,INDEX('2023 OP UPL Data'!M:M,MATCH(A:A,'2023 OP UPL Data'!B:B,0)))),0)</f>
        <v>0</v>
      </c>
      <c r="N398" s="45">
        <f t="shared" si="156"/>
        <v>0</v>
      </c>
      <c r="O398" s="45">
        <v>0</v>
      </c>
      <c r="P398" s="45">
        <v>0</v>
      </c>
      <c r="Q398" s="45">
        <f t="shared" si="157"/>
        <v>0</v>
      </c>
      <c r="R398" s="45" t="str">
        <f t="shared" si="158"/>
        <v>No</v>
      </c>
      <c r="S398" s="46" t="str">
        <f t="shared" si="158"/>
        <v>No</v>
      </c>
      <c r="T398" s="47">
        <f>ROUND(INDEX(Summary!H:H,MATCH(H:H,Summary!A:A,0)),2)</f>
        <v>0</v>
      </c>
      <c r="U398" s="47">
        <f>ROUND(INDEX(Summary!I:I,MATCH(H:H,Summary!A:A,0)),2)</f>
        <v>0</v>
      </c>
      <c r="V398" s="85">
        <f t="shared" si="159"/>
        <v>0</v>
      </c>
      <c r="W398" s="85">
        <f t="shared" si="159"/>
        <v>0</v>
      </c>
      <c r="X398" s="45">
        <f t="shared" si="160"/>
        <v>0</v>
      </c>
      <c r="Y398" s="45" t="s">
        <v>3223</v>
      </c>
      <c r="Z398" s="45" t="str">
        <f t="shared" si="161"/>
        <v>No</v>
      </c>
      <c r="AA398" s="45" t="str">
        <f t="shared" si="161"/>
        <v>No</v>
      </c>
      <c r="AB398" s="45" t="str">
        <f t="shared" si="162"/>
        <v>No</v>
      </c>
      <c r="AC398" s="86">
        <f t="shared" si="175"/>
        <v>0</v>
      </c>
      <c r="AD398" s="86">
        <f t="shared" si="176"/>
        <v>0</v>
      </c>
      <c r="AE398" s="45">
        <f t="shared" si="177"/>
        <v>0</v>
      </c>
      <c r="AF398" s="45">
        <f t="shared" si="177"/>
        <v>0</v>
      </c>
      <c r="AG398" s="45">
        <f t="shared" si="163"/>
        <v>0</v>
      </c>
      <c r="AH398" s="47">
        <f>IF(Y398="No",0,IFERROR(ROUNDDOWN(INDEX('90% of ACR'!K:K,MATCH(H:H,'90% of ACR'!A:A,0))*IF(I398&gt;0,IF(O398&gt;0,$R$4*MAX(O398-V398,0),0),0)/I398,2),0))</f>
        <v>0</v>
      </c>
      <c r="AI398" s="86">
        <f>IF(Y398="No",0,IFERROR(ROUNDDOWN(INDEX('90% of ACR'!R:R,MATCH(H:H,'90% of ACR'!A:A,0))*IF(J398&gt;0,IF(P398&gt;0,$R$4*MAX(P398-W398,0),0),0)/J398,2),0))</f>
        <v>0</v>
      </c>
      <c r="AJ398" s="45">
        <f t="shared" si="164"/>
        <v>0</v>
      </c>
      <c r="AK398" s="45">
        <f t="shared" si="164"/>
        <v>0</v>
      </c>
      <c r="AL398" s="47">
        <f t="shared" si="165"/>
        <v>0</v>
      </c>
      <c r="AM398" s="47">
        <f t="shared" si="165"/>
        <v>0</v>
      </c>
      <c r="AN398" s="87">
        <f>IFERROR(INDEX(FeeCalc!P:P,MATCH(C398,FeeCalc!F:F,0)),0)</f>
        <v>0</v>
      </c>
      <c r="AO398" s="87">
        <f>IFERROR(INDEX(FeeCalc!S:S,MATCH(C398,FeeCalc!F:F,0)),0)</f>
        <v>0</v>
      </c>
      <c r="AP398" s="87">
        <f t="shared" si="166"/>
        <v>0</v>
      </c>
      <c r="AQ398" s="72">
        <f t="shared" si="167"/>
        <v>0</v>
      </c>
      <c r="AR398" s="72">
        <f t="shared" si="168"/>
        <v>0</v>
      </c>
      <c r="AS398" s="72">
        <f t="shared" si="169"/>
        <v>0</v>
      </c>
      <c r="AT398" s="72">
        <f>IFERROR(IFERROR(INDEX('2023 IP UPL Data'!L:L,MATCH(A:A,'2023 IP UPL Data'!B:B,0)),INDEX('2023 IMD UPL Data'!I:I,MATCH(A:A,'2023 IMD UPL Data'!B:B,0))),0)</f>
        <v>0</v>
      </c>
      <c r="AU398" s="72">
        <f>IFERROR(IF(F396="IMD",0,INDEX('2023 OP UPL Data'!J:J,MATCH(A:A,'2023 OP UPL Data'!B:B,0))),0)</f>
        <v>0</v>
      </c>
      <c r="AV398" s="45">
        <f t="shared" si="170"/>
        <v>0</v>
      </c>
      <c r="AW398" s="72">
        <f>IFERROR(IFERROR(INDEX('2023 IP UPL Data'!M:M,MATCH(A:A,'2023 IP UPL Data'!B:B,0)),INDEX('2023 IMD UPL Data'!K:K,MATCH(A:A,'2023 IMD UPL Data'!B:B,0))),0)</f>
        <v>0</v>
      </c>
      <c r="AX398" s="72">
        <f>IFERROR(IF(F396="IMD",0,INDEX('2023 OP UPL Data'!L:L,MATCH(A:A,'2023 OP UPL Data'!B:B,0))),0)</f>
        <v>0</v>
      </c>
      <c r="AY398" s="45">
        <f t="shared" si="171"/>
        <v>0</v>
      </c>
      <c r="AZ398" s="72">
        <v>0</v>
      </c>
      <c r="BA398" s="72">
        <v>0</v>
      </c>
      <c r="BB398" s="72">
        <f t="shared" si="172"/>
        <v>0</v>
      </c>
      <c r="BC398" s="72">
        <f t="shared" si="172"/>
        <v>0</v>
      </c>
      <c r="BD398" s="72">
        <f t="shared" si="173"/>
        <v>0</v>
      </c>
      <c r="BE398" s="94">
        <f t="shared" si="174"/>
        <v>0</v>
      </c>
      <c r="BF398" s="94">
        <f t="shared" si="174"/>
        <v>0</v>
      </c>
      <c r="BG398" s="73">
        <f>IFERROR(INDEX('2023 IP UPL Data'!K:K,MATCH(A398,'2023 IP UPL Data'!B:B,0)),0)</f>
        <v>0</v>
      </c>
    </row>
  </sheetData>
  <scenarios current="0" sqref="X4 AJ4 AK4 AN4 AO4 AP4">
    <scenario name="80 PCT" locked="1" count="1" user="Gonzalez,Meredith (HHSC)" comment="Created by Gonzalez,Meredith (HHSC) on 5/3/2022">
      <inputCells r="R4" val="0.8" numFmtId="9"/>
    </scenario>
    <scenario name="100 PCT" locked="1" count="1" user="Gonzalez,Meredith (HHSC)" comment="Created by Gonzalez,Meredith (HHSC) on 5/3/2022">
      <inputCells r="R4" val="1" numFmtId="9"/>
    </scenario>
    <scenario name="90 PCT" locked="1" count="1" user="Gonzalez,Meredith (HHSC)" comment="Created by Gonzalez,Meredith (HHSC) on 5/3/2022">
      <inputCells r="R4" val="0.9" numFmtId="9"/>
    </scenario>
    <scenario name="5.02B" locked="1" count="1" user="Gonzalez,Meredith (HHSC)" comment="Created by Gonzalez,Meredith (HHSC) on 5/3/2022">
      <inputCells r="R4" val="0.61" numFmtId="9"/>
    </scenario>
    <scenario name="4.7B" locked="1" count="1" user="Gonzalez,Meredith (HHSC)" comment="Created by Gonzalez,Meredith (HHSC) on 5/3/2022">
      <inputCells r="R4" val="0.52" numFmtId="9"/>
    </scenario>
  </scenarios>
  <autoFilter ref="A5:BG398" xr:uid="{CFD91686-16E2-4E00-82C6-9FB658861CB0}"/>
  <sortState xmlns:xlrd2="http://schemas.microsoft.com/office/spreadsheetml/2017/richdata2" ref="F6:O52">
    <sortCondition ref="I6:I52"/>
  </sortState>
  <dataConsolidate link="1"/>
  <phoneticPr fontId="26" type="noConversion"/>
  <conditionalFormatting sqref="A399:A1048576 A1:A2 A4:A5">
    <cfRule type="duplicateValues" dxfId="10" priority="25"/>
  </conditionalFormatting>
  <conditionalFormatting sqref="C1:C23 C25:C102 C114:C1048576 C104:C112">
    <cfRule type="duplicateValues" dxfId="9" priority="4"/>
  </conditionalFormatting>
  <conditionalFormatting sqref="A1:A75 A77:A78 A80:A102 A283:A1048576 A104:A281">
    <cfRule type="duplicateValues" dxfId="8" priority="3"/>
  </conditionalFormatting>
  <conditionalFormatting sqref="B6:B52">
    <cfRule type="duplicateValues" dxfId="7" priority="312"/>
  </conditionalFormatting>
  <conditionalFormatting sqref="C5:C23 C25:C102 C114:C398 C104:C112">
    <cfRule type="duplicateValues" dxfId="6" priority="317"/>
  </conditionalFormatting>
  <conditionalFormatting sqref="C113">
    <cfRule type="duplicateValues" dxfId="5" priority="2"/>
  </conditionalFormatting>
  <conditionalFormatting sqref="D113">
    <cfRule type="duplicateValues" dxfId="4" priority="1"/>
  </conditionalFormatting>
  <pageMargins left="0.7" right="0.7" top="0.75" bottom="0.75" header="0.3" footer="0.3"/>
  <pageSetup scale="23" fitToHeight="0" orientation="landscape" r:id="rId1"/>
  <cellWatches>
    <cellWatch r="AP4"/>
  </cellWatche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F96A0-7BDD-4422-90AA-06BCF7771E7B}">
  <dimension ref="A1:X407"/>
  <sheetViews>
    <sheetView topLeftCell="G1" zoomScale="70" zoomScaleNormal="70" workbookViewId="0">
      <pane ySplit="4" topLeftCell="A5" activePane="bottomLeft" state="frozen"/>
      <selection pane="bottomLeft" activeCell="O205" sqref="O205"/>
    </sheetView>
  </sheetViews>
  <sheetFormatPr defaultColWidth="9.09765625" defaultRowHeight="15"/>
  <cols>
    <col min="1" max="1" width="24.19921875" style="9" customWidth="1"/>
    <col min="2" max="2" width="7" style="9" bestFit="1" customWidth="1"/>
    <col min="3" max="3" width="21.19921875" style="9" customWidth="1"/>
    <col min="4" max="4" width="14.19921875" style="9" customWidth="1"/>
    <col min="5" max="5" width="19.09765625" style="9" bestFit="1" customWidth="1"/>
    <col min="6" max="6" width="11" style="9" bestFit="1" customWidth="1"/>
    <col min="7" max="7" width="25.59765625" style="9" customWidth="1"/>
    <col min="8" max="8" width="14.19921875" style="9" customWidth="1"/>
    <col min="9" max="9" width="14.19921875" style="9" bestFit="1" customWidth="1"/>
    <col min="10" max="11" width="12.3984375" style="9" bestFit="1" customWidth="1"/>
    <col min="12" max="13" width="14.19921875" style="9" bestFit="1" customWidth="1"/>
    <col min="14" max="14" width="9.19921875" style="9" bestFit="1" customWidth="1"/>
    <col min="15" max="15" width="9.19921875" style="9" customWidth="1"/>
    <col min="16" max="16" width="14.19921875" style="9" bestFit="1" customWidth="1"/>
    <col min="17" max="19" width="12.3984375" style="9" bestFit="1" customWidth="1"/>
    <col min="20" max="21" width="14.19921875" style="9" bestFit="1" customWidth="1"/>
    <col min="22" max="22" width="14.19921875" style="9" customWidth="1"/>
    <col min="23" max="24" width="14.19921875" style="9" bestFit="1" customWidth="1"/>
    <col min="25" max="16384" width="9.09765625" style="9"/>
  </cols>
  <sheetData>
    <row r="1" spans="1:24">
      <c r="A1" s="1" t="s">
        <v>3408</v>
      </c>
      <c r="B1" s="9" t="s">
        <v>3409</v>
      </c>
    </row>
    <row r="2" spans="1:24">
      <c r="H2" s="153" t="s">
        <v>3629</v>
      </c>
      <c r="I2" s="154"/>
      <c r="J2" s="154"/>
      <c r="K2" s="154"/>
      <c r="L2" s="154"/>
      <c r="M2" s="155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H3" s="156" t="s">
        <v>2918</v>
      </c>
      <c r="I3" s="157"/>
      <c r="J3" s="209" t="s">
        <v>2919</v>
      </c>
      <c r="K3" s="209"/>
      <c r="L3" s="157"/>
      <c r="M3" s="191"/>
      <c r="N3" s="1"/>
      <c r="O3" s="1"/>
      <c r="P3" s="153" t="s">
        <v>3410</v>
      </c>
      <c r="Q3" s="154"/>
      <c r="R3" s="154"/>
      <c r="S3" s="154"/>
      <c r="T3" s="154"/>
      <c r="U3" s="154"/>
      <c r="V3" s="154"/>
      <c r="W3" s="154"/>
      <c r="X3" s="155"/>
    </row>
    <row r="4" spans="1:24" ht="45">
      <c r="A4" s="1" t="s">
        <v>3212</v>
      </c>
      <c r="D4" s="158" t="s">
        <v>3408</v>
      </c>
      <c r="E4" s="1" t="s">
        <v>2717</v>
      </c>
      <c r="F4" s="5" t="s">
        <v>2195</v>
      </c>
      <c r="G4" s="1" t="s">
        <v>2716</v>
      </c>
      <c r="H4" s="159" t="s">
        <v>2715</v>
      </c>
      <c r="I4" s="175" t="s">
        <v>2714</v>
      </c>
      <c r="J4" s="175" t="s">
        <v>2715</v>
      </c>
      <c r="K4" s="175" t="s">
        <v>2714</v>
      </c>
      <c r="L4" s="175" t="s">
        <v>2713</v>
      </c>
      <c r="M4" s="183" t="s">
        <v>3425</v>
      </c>
      <c r="N4" s="160" t="s">
        <v>3426</v>
      </c>
      <c r="O4" s="160" t="s">
        <v>3427</v>
      </c>
      <c r="P4" s="161" t="s">
        <v>3752</v>
      </c>
      <c r="Q4" s="160" t="s">
        <v>3428</v>
      </c>
      <c r="R4" s="160" t="s">
        <v>3429</v>
      </c>
      <c r="S4" s="160" t="s">
        <v>3178</v>
      </c>
      <c r="T4" s="160" t="s">
        <v>3211</v>
      </c>
      <c r="U4" s="160" t="s">
        <v>3632</v>
      </c>
      <c r="V4" s="160" t="s">
        <v>3210</v>
      </c>
      <c r="W4" s="160" t="s">
        <v>3418</v>
      </c>
      <c r="X4" s="162" t="s">
        <v>2920</v>
      </c>
    </row>
    <row r="5" spans="1:24">
      <c r="A5" s="9" t="s">
        <v>3213</v>
      </c>
      <c r="B5" s="163">
        <v>1.4999999999999999E-2</v>
      </c>
      <c r="D5" s="9" t="s">
        <v>487</v>
      </c>
      <c r="E5" s="9" t="s">
        <v>1552</v>
      </c>
      <c r="F5" s="4" t="s">
        <v>71</v>
      </c>
      <c r="G5" s="9" t="s">
        <v>72</v>
      </c>
      <c r="H5" s="185">
        <v>25881995.455656178</v>
      </c>
      <c r="I5" s="186">
        <v>65800806.452582002</v>
      </c>
      <c r="J5" s="186">
        <v>133051.44791907616</v>
      </c>
      <c r="K5" s="186">
        <v>14347.118304939548</v>
      </c>
      <c r="L5" s="177">
        <f>H5+J5</f>
        <v>26015046.903575253</v>
      </c>
      <c r="M5" s="166">
        <f>I5+K5</f>
        <v>65815153.57088694</v>
      </c>
      <c r="N5" s="189">
        <f>INDEX('CHIRP Payment Calc'!AM:AM,MATCH(F5,'CHIRP Payment Calc'!C:C,0))</f>
        <v>1.44</v>
      </c>
      <c r="O5" s="189">
        <f>INDEX('CHIRP Payment Calc'!AL:AL,MATCH(FeeCalc!F5,'CHIRP Payment Calc'!C:C,0))</f>
        <v>0.65</v>
      </c>
      <c r="P5" s="185">
        <f t="shared" ref="P5:P68" si="0">(L5*N5)+(M5*O5)</f>
        <v>80241517.362224877</v>
      </c>
      <c r="Q5" s="186">
        <f>(T5+V5)*$B$10</f>
        <v>4883113.3845024761</v>
      </c>
      <c r="R5" s="186">
        <f>(U5+W5)*$B$11</f>
        <v>12824.662461809387</v>
      </c>
      <c r="S5" s="186">
        <f>(T5+V5)*$B$10+(U5+W5)*$B$11</f>
        <v>4895938.0469642859</v>
      </c>
      <c r="T5" s="186">
        <f>H5/(1-$B$10)*N5</f>
        <v>39543844.515803598</v>
      </c>
      <c r="U5" s="186">
        <f>J5/(1-$B$11)*N5</f>
        <v>203823.49468454221</v>
      </c>
      <c r="V5" s="186">
        <f>I5/(1-$B$10)*O5</f>
        <v>45379866.51902207</v>
      </c>
      <c r="W5" s="186">
        <f>K5/(1-$B$11)*O5</f>
        <v>9920.87967894756</v>
      </c>
      <c r="X5" s="187">
        <f>SUM(T5:W5)</f>
        <v>85137455.40918915</v>
      </c>
    </row>
    <row r="6" spans="1:24">
      <c r="A6" s="9" t="s">
        <v>3214</v>
      </c>
      <c r="B6" s="163">
        <v>1.7500000000000002E-2</v>
      </c>
      <c r="D6" s="9" t="s">
        <v>487</v>
      </c>
      <c r="E6" s="9" t="s">
        <v>3069</v>
      </c>
      <c r="F6" s="4" t="s">
        <v>1341</v>
      </c>
      <c r="G6" s="9" t="s">
        <v>3336</v>
      </c>
      <c r="H6" s="164">
        <v>0</v>
      </c>
      <c r="I6" s="165">
        <v>4230642.6175989183</v>
      </c>
      <c r="J6" s="165">
        <v>0</v>
      </c>
      <c r="K6" s="165">
        <v>0</v>
      </c>
      <c r="L6" s="177">
        <f t="shared" ref="L6:L69" si="1">H6+J6</f>
        <v>0</v>
      </c>
      <c r="M6" s="166">
        <f t="shared" ref="M6:M69" si="2">I6+K6</f>
        <v>4230642.6175989183</v>
      </c>
      <c r="N6" s="189">
        <f>INDEX('CHIRP Payment Calc'!AM:AM,MATCH(F6,'CHIRP Payment Calc'!C:C,0))</f>
        <v>0</v>
      </c>
      <c r="O6" s="189">
        <f>INDEX('CHIRP Payment Calc'!AL:AL,MATCH(FeeCalc!F6,'CHIRP Payment Calc'!C:C,0))</f>
        <v>0.14000000000000001</v>
      </c>
      <c r="P6" s="164">
        <f t="shared" si="0"/>
        <v>592289.9664638486</v>
      </c>
      <c r="Q6" s="165">
        <f t="shared" ref="Q6:Q69" si="3">(T6+V6)*$B$10</f>
        <v>36134.401137051769</v>
      </c>
      <c r="R6" s="165">
        <f t="shared" ref="R6:R69" si="4">(U6+W6)*$B$11</f>
        <v>0</v>
      </c>
      <c r="S6" s="165">
        <f t="shared" ref="S6:S69" si="5">(T6+V6)*$B$10+(U6+W6)*$B$11</f>
        <v>36134.401137051769</v>
      </c>
      <c r="T6" s="165">
        <f t="shared" ref="T6:T69" si="6">H6/(1-$B$10)*N6</f>
        <v>0</v>
      </c>
      <c r="U6" s="165">
        <f t="shared" ref="U6:U69" si="7">J6/(1-$B$11)*N6</f>
        <v>0</v>
      </c>
      <c r="V6" s="165">
        <f t="shared" ref="V6:V69" si="8">I6/(1-$B$10)*O6</f>
        <v>628424.36760090035</v>
      </c>
      <c r="W6" s="165">
        <f t="shared" ref="W6:W69" si="9">K6/(1-$B$11)*O6</f>
        <v>0</v>
      </c>
      <c r="X6" s="166">
        <f t="shared" ref="X6:X68" si="10">U6+W6</f>
        <v>0</v>
      </c>
    </row>
    <row r="7" spans="1:24">
      <c r="A7" s="9" t="s">
        <v>3215</v>
      </c>
      <c r="B7" s="163">
        <v>2.5000000000000001E-2</v>
      </c>
      <c r="D7" s="9" t="s">
        <v>487</v>
      </c>
      <c r="E7" s="9" t="s">
        <v>3069</v>
      </c>
      <c r="F7" s="4" t="s">
        <v>2806</v>
      </c>
      <c r="G7" s="9" t="s">
        <v>3453</v>
      </c>
      <c r="H7" s="164">
        <v>0</v>
      </c>
      <c r="I7" s="165">
        <v>8725798.8310795557</v>
      </c>
      <c r="J7" s="165">
        <v>0</v>
      </c>
      <c r="K7" s="165">
        <v>0</v>
      </c>
      <c r="L7" s="177">
        <f t="shared" si="1"/>
        <v>0</v>
      </c>
      <c r="M7" s="166">
        <f t="shared" si="2"/>
        <v>8725798.8310795557</v>
      </c>
      <c r="N7" s="189">
        <f>INDEX('CHIRP Payment Calc'!AM:AM,MATCH(F7,'CHIRP Payment Calc'!C:C,0))</f>
        <v>0</v>
      </c>
      <c r="O7" s="189">
        <f>INDEX('CHIRP Payment Calc'!AL:AL,MATCH(FeeCalc!F7,'CHIRP Payment Calc'!C:C,0))</f>
        <v>0.14000000000000001</v>
      </c>
      <c r="P7" s="164">
        <f t="shared" si="0"/>
        <v>1221611.8363511378</v>
      </c>
      <c r="Q7" s="165">
        <f t="shared" si="3"/>
        <v>74528.043066515049</v>
      </c>
      <c r="R7" s="165">
        <f t="shared" si="4"/>
        <v>0</v>
      </c>
      <c r="S7" s="165">
        <f t="shared" si="5"/>
        <v>74528.043066515049</v>
      </c>
      <c r="T7" s="165">
        <f t="shared" si="6"/>
        <v>0</v>
      </c>
      <c r="U7" s="165">
        <f t="shared" si="7"/>
        <v>0</v>
      </c>
      <c r="V7" s="165">
        <f t="shared" si="8"/>
        <v>1296139.879417653</v>
      </c>
      <c r="W7" s="165">
        <f t="shared" si="9"/>
        <v>0</v>
      </c>
      <c r="X7" s="166">
        <f t="shared" si="10"/>
        <v>0</v>
      </c>
    </row>
    <row r="8" spans="1:24">
      <c r="A8" s="9" t="s">
        <v>3216</v>
      </c>
      <c r="B8" s="163">
        <v>1.7500000000000002E-2</v>
      </c>
      <c r="D8" s="9" t="s">
        <v>487</v>
      </c>
      <c r="E8" s="9" t="s">
        <v>3069</v>
      </c>
      <c r="F8" s="4" t="s">
        <v>1308</v>
      </c>
      <c r="G8" s="9" t="s">
        <v>3193</v>
      </c>
      <c r="H8" s="164">
        <v>0</v>
      </c>
      <c r="I8" s="165">
        <v>5314285.9620712847</v>
      </c>
      <c r="J8" s="165">
        <v>0</v>
      </c>
      <c r="K8" s="165">
        <v>0</v>
      </c>
      <c r="L8" s="177">
        <f t="shared" si="1"/>
        <v>0</v>
      </c>
      <c r="M8" s="166">
        <f t="shared" si="2"/>
        <v>5314285.9620712847</v>
      </c>
      <c r="N8" s="189">
        <f>INDEX('CHIRP Payment Calc'!AM:AM,MATCH(F8,'CHIRP Payment Calc'!C:C,0))</f>
        <v>0</v>
      </c>
      <c r="O8" s="189">
        <f>INDEX('CHIRP Payment Calc'!AL:AL,MATCH(FeeCalc!F8,'CHIRP Payment Calc'!C:C,0))</f>
        <v>0.14000000000000001</v>
      </c>
      <c r="P8" s="164">
        <f t="shared" si="0"/>
        <v>744000.03468997998</v>
      </c>
      <c r="Q8" s="165">
        <f t="shared" si="3"/>
        <v>45389.922540768006</v>
      </c>
      <c r="R8" s="165">
        <f t="shared" si="4"/>
        <v>0</v>
      </c>
      <c r="S8" s="165">
        <f t="shared" si="5"/>
        <v>45389.922540768006</v>
      </c>
      <c r="T8" s="165">
        <f t="shared" si="6"/>
        <v>0</v>
      </c>
      <c r="U8" s="165">
        <f t="shared" si="7"/>
        <v>0</v>
      </c>
      <c r="V8" s="165">
        <f t="shared" si="8"/>
        <v>789389.95723074791</v>
      </c>
      <c r="W8" s="165">
        <f t="shared" si="9"/>
        <v>0</v>
      </c>
      <c r="X8" s="166">
        <f t="shared" si="10"/>
        <v>0</v>
      </c>
    </row>
    <row r="9" spans="1:24">
      <c r="A9" s="9" t="s">
        <v>3217</v>
      </c>
      <c r="B9" s="163">
        <v>0</v>
      </c>
      <c r="D9" s="9" t="s">
        <v>487</v>
      </c>
      <c r="E9" s="9" t="s">
        <v>2768</v>
      </c>
      <c r="F9" s="4" t="s">
        <v>863</v>
      </c>
      <c r="G9" s="9" t="s">
        <v>3530</v>
      </c>
      <c r="H9" s="164">
        <v>1616687.5011382266</v>
      </c>
      <c r="I9" s="165">
        <v>205960.53112800879</v>
      </c>
      <c r="J9" s="165">
        <v>469563.59094673535</v>
      </c>
      <c r="K9" s="165">
        <v>803159.48086810869</v>
      </c>
      <c r="L9" s="177">
        <f t="shared" si="1"/>
        <v>2086251.0920849619</v>
      </c>
      <c r="M9" s="166">
        <f t="shared" si="2"/>
        <v>1009120.0119961174</v>
      </c>
      <c r="N9" s="189">
        <f>INDEX('CHIRP Payment Calc'!AM:AM,MATCH(F9,'CHIRP Payment Calc'!C:C,0))</f>
        <v>0.76</v>
      </c>
      <c r="O9" s="189">
        <f>INDEX('CHIRP Payment Calc'!AL:AL,MATCH(FeeCalc!F9,'CHIRP Payment Calc'!C:C,0))</f>
        <v>0.47</v>
      </c>
      <c r="P9" s="164">
        <f t="shared" si="0"/>
        <v>2059837.2356227462</v>
      </c>
      <c r="Q9" s="165">
        <f t="shared" si="3"/>
        <v>80865.068597851408</v>
      </c>
      <c r="R9" s="165">
        <f t="shared" si="4"/>
        <v>46873.613944310426</v>
      </c>
      <c r="S9" s="165">
        <f t="shared" si="5"/>
        <v>127738.68254216184</v>
      </c>
      <c r="T9" s="165">
        <f t="shared" si="6"/>
        <v>1303641.910732151</v>
      </c>
      <c r="U9" s="165">
        <f t="shared" si="7"/>
        <v>379647.15863778605</v>
      </c>
      <c r="V9" s="165">
        <f t="shared" si="8"/>
        <v>102707.10836091684</v>
      </c>
      <c r="W9" s="165">
        <f t="shared" si="9"/>
        <v>401579.74043405434</v>
      </c>
      <c r="X9" s="166">
        <f t="shared" si="10"/>
        <v>781226.89907184034</v>
      </c>
    </row>
    <row r="10" spans="1:24">
      <c r="A10" s="1" t="s">
        <v>3411</v>
      </c>
      <c r="B10" s="167">
        <v>5.7500000000000002E-2</v>
      </c>
      <c r="D10" s="9" t="s">
        <v>487</v>
      </c>
      <c r="E10" s="9" t="s">
        <v>2768</v>
      </c>
      <c r="F10" s="4" t="s">
        <v>832</v>
      </c>
      <c r="G10" s="9" t="s">
        <v>3151</v>
      </c>
      <c r="H10" s="164">
        <v>2124901.6807985874</v>
      </c>
      <c r="I10" s="165">
        <v>392912.62853568722</v>
      </c>
      <c r="J10" s="165">
        <v>203721.76477794859</v>
      </c>
      <c r="K10" s="165">
        <v>34240.240428193785</v>
      </c>
      <c r="L10" s="177">
        <f t="shared" si="1"/>
        <v>2328623.445576536</v>
      </c>
      <c r="M10" s="166">
        <f t="shared" si="2"/>
        <v>427152.86896388099</v>
      </c>
      <c r="N10" s="189">
        <f>INDEX('CHIRP Payment Calc'!AM:AM,MATCH(F10,'CHIRP Payment Calc'!C:C,0))</f>
        <v>0.30000000000000004</v>
      </c>
      <c r="O10" s="189">
        <f>INDEX('CHIRP Payment Calc'!AL:AL,MATCH(FeeCalc!F10,'CHIRP Payment Calc'!C:C,0))</f>
        <v>0.71000000000000008</v>
      </c>
      <c r="P10" s="164">
        <f t="shared" si="0"/>
        <v>1001865.5706373164</v>
      </c>
      <c r="Q10" s="165">
        <f t="shared" si="3"/>
        <v>55910.039314318376</v>
      </c>
      <c r="R10" s="165">
        <f t="shared" si="4"/>
        <v>5452.793625791629</v>
      </c>
      <c r="S10" s="165">
        <f t="shared" si="5"/>
        <v>61362.832940110005</v>
      </c>
      <c r="T10" s="165">
        <f t="shared" si="6"/>
        <v>676361.27770777326</v>
      </c>
      <c r="U10" s="165">
        <f t="shared" si="7"/>
        <v>65017.584503600629</v>
      </c>
      <c r="V10" s="165">
        <f t="shared" si="8"/>
        <v>295987.23210645933</v>
      </c>
      <c r="W10" s="165">
        <f t="shared" si="9"/>
        <v>25862.309259593181</v>
      </c>
      <c r="X10" s="166">
        <f t="shared" si="10"/>
        <v>90879.893763193802</v>
      </c>
    </row>
    <row r="11" spans="1:24">
      <c r="A11" s="1" t="s">
        <v>3412</v>
      </c>
      <c r="B11" s="167">
        <v>6.0000000000000005E-2</v>
      </c>
      <c r="D11" s="9" t="s">
        <v>487</v>
      </c>
      <c r="E11" s="9" t="s">
        <v>2768</v>
      </c>
      <c r="F11" s="4" t="s">
        <v>1172</v>
      </c>
      <c r="G11" s="9" t="s">
        <v>3131</v>
      </c>
      <c r="H11" s="164">
        <v>1305608.31019345</v>
      </c>
      <c r="I11" s="165">
        <v>142102.12034121179</v>
      </c>
      <c r="J11" s="165">
        <v>25923.281189356683</v>
      </c>
      <c r="K11" s="165">
        <v>25981.226152962812</v>
      </c>
      <c r="L11" s="177">
        <f t="shared" si="1"/>
        <v>1331531.5913828067</v>
      </c>
      <c r="M11" s="166">
        <f t="shared" si="2"/>
        <v>168083.34649417459</v>
      </c>
      <c r="N11" s="189">
        <f>INDEX('CHIRP Payment Calc'!AM:AM,MATCH(F11,'CHIRP Payment Calc'!C:C,0))</f>
        <v>0.56000000000000005</v>
      </c>
      <c r="O11" s="189">
        <f>INDEX('CHIRP Payment Calc'!AL:AL,MATCH(FeeCalc!F11,'CHIRP Payment Calc'!C:C,0))</f>
        <v>0.15</v>
      </c>
      <c r="P11" s="164">
        <f t="shared" si="0"/>
        <v>770870.19314849796</v>
      </c>
      <c r="Q11" s="165">
        <f t="shared" si="3"/>
        <v>45905.801990633467</v>
      </c>
      <c r="R11" s="165">
        <f t="shared" si="4"/>
        <v>1175.3758333394148</v>
      </c>
      <c r="S11" s="165">
        <f t="shared" si="5"/>
        <v>47081.177823972881</v>
      </c>
      <c r="T11" s="165">
        <f t="shared" si="6"/>
        <v>775746.05167992786</v>
      </c>
      <c r="U11" s="165">
        <f t="shared" si="7"/>
        <v>15443.656878765685</v>
      </c>
      <c r="V11" s="165">
        <f t="shared" si="8"/>
        <v>22615.722070219381</v>
      </c>
      <c r="W11" s="165">
        <f t="shared" si="9"/>
        <v>4145.9403435578952</v>
      </c>
      <c r="X11" s="166">
        <f t="shared" si="10"/>
        <v>19589.59722232358</v>
      </c>
    </row>
    <row r="12" spans="1:24">
      <c r="D12" s="9" t="s">
        <v>487</v>
      </c>
      <c r="E12" s="9" t="s">
        <v>3389</v>
      </c>
      <c r="F12" s="4" t="s">
        <v>2791</v>
      </c>
      <c r="G12" s="9" t="s">
        <v>3162</v>
      </c>
      <c r="H12" s="164">
        <v>0</v>
      </c>
      <c r="I12" s="165">
        <v>2595.185427439159</v>
      </c>
      <c r="J12" s="165">
        <v>0</v>
      </c>
      <c r="K12" s="165">
        <v>0</v>
      </c>
      <c r="L12" s="177">
        <f t="shared" si="1"/>
        <v>0</v>
      </c>
      <c r="M12" s="166">
        <f t="shared" si="2"/>
        <v>2595.185427439159</v>
      </c>
      <c r="N12" s="189">
        <f>INDEX('CHIRP Payment Calc'!AM:AM,MATCH(F12,'CHIRP Payment Calc'!C:C,0))</f>
        <v>0</v>
      </c>
      <c r="O12" s="189">
        <f>INDEX('CHIRP Payment Calc'!AL:AL,MATCH(FeeCalc!F12,'CHIRP Payment Calc'!C:C,0))</f>
        <v>80.91</v>
      </c>
      <c r="P12" s="164">
        <f t="shared" si="0"/>
        <v>209976.45293410233</v>
      </c>
      <c r="Q12" s="165">
        <f t="shared" si="3"/>
        <v>12810.234529136216</v>
      </c>
      <c r="R12" s="165">
        <f t="shared" si="4"/>
        <v>0</v>
      </c>
      <c r="S12" s="165">
        <f t="shared" si="5"/>
        <v>12810.234529136216</v>
      </c>
      <c r="T12" s="165">
        <f t="shared" si="6"/>
        <v>0</v>
      </c>
      <c r="U12" s="165">
        <f t="shared" si="7"/>
        <v>0</v>
      </c>
      <c r="V12" s="165">
        <f t="shared" si="8"/>
        <v>222786.68746323854</v>
      </c>
      <c r="W12" s="165">
        <f t="shared" si="9"/>
        <v>0</v>
      </c>
      <c r="X12" s="166">
        <f t="shared" si="10"/>
        <v>0</v>
      </c>
    </row>
    <row r="13" spans="1:24">
      <c r="D13" s="9" t="s">
        <v>487</v>
      </c>
      <c r="E13" s="9" t="s">
        <v>3388</v>
      </c>
      <c r="F13" s="4" t="s">
        <v>2757</v>
      </c>
      <c r="G13" s="9" t="s">
        <v>3362</v>
      </c>
      <c r="H13" s="164">
        <v>0</v>
      </c>
      <c r="I13" s="165">
        <v>0</v>
      </c>
      <c r="J13" s="165">
        <v>0</v>
      </c>
      <c r="K13" s="165">
        <v>0</v>
      </c>
      <c r="L13" s="177">
        <f t="shared" si="1"/>
        <v>0</v>
      </c>
      <c r="M13" s="166">
        <f t="shared" si="2"/>
        <v>0</v>
      </c>
      <c r="N13" s="189">
        <f>INDEX('CHIRP Payment Calc'!AM:AM,MATCH(F13,'CHIRP Payment Calc'!C:C,0))</f>
        <v>0</v>
      </c>
      <c r="O13" s="189">
        <f>INDEX('CHIRP Payment Calc'!AL:AL,MATCH(FeeCalc!F13,'CHIRP Payment Calc'!C:C,0))</f>
        <v>0</v>
      </c>
      <c r="P13" s="164">
        <f t="shared" si="0"/>
        <v>0</v>
      </c>
      <c r="Q13" s="165">
        <f t="shared" si="3"/>
        <v>0</v>
      </c>
      <c r="R13" s="165">
        <f t="shared" si="4"/>
        <v>0</v>
      </c>
      <c r="S13" s="165">
        <f t="shared" si="5"/>
        <v>0</v>
      </c>
      <c r="T13" s="165">
        <f t="shared" si="6"/>
        <v>0</v>
      </c>
      <c r="U13" s="165">
        <f t="shared" si="7"/>
        <v>0</v>
      </c>
      <c r="V13" s="165">
        <f t="shared" si="8"/>
        <v>0</v>
      </c>
      <c r="W13" s="165">
        <f t="shared" si="9"/>
        <v>0</v>
      </c>
      <c r="X13" s="166">
        <f t="shared" si="10"/>
        <v>0</v>
      </c>
    </row>
    <row r="14" spans="1:24">
      <c r="A14" s="9" t="s">
        <v>3630</v>
      </c>
      <c r="D14" s="9" t="s">
        <v>487</v>
      </c>
      <c r="E14" s="9" t="s">
        <v>2718</v>
      </c>
      <c r="F14" s="4" t="s">
        <v>869</v>
      </c>
      <c r="G14" s="9" t="s">
        <v>2972</v>
      </c>
      <c r="H14" s="164">
        <v>15909243.150847279</v>
      </c>
      <c r="I14" s="165">
        <v>75923264.633551106</v>
      </c>
      <c r="J14" s="165">
        <v>6581830.3447998837</v>
      </c>
      <c r="K14" s="165">
        <v>34057304.945003293</v>
      </c>
      <c r="L14" s="177">
        <f t="shared" si="1"/>
        <v>22491073.495647162</v>
      </c>
      <c r="M14" s="166">
        <f t="shared" si="2"/>
        <v>109980569.57855439</v>
      </c>
      <c r="N14" s="189">
        <f>INDEX('CHIRP Payment Calc'!AM:AM,MATCH(F14,'CHIRP Payment Calc'!C:C,0))</f>
        <v>1.23</v>
      </c>
      <c r="O14" s="189">
        <f>INDEX('CHIRP Payment Calc'!AL:AL,MATCH(FeeCalc!F14,'CHIRP Payment Calc'!C:C,0))</f>
        <v>1.1399999999999999</v>
      </c>
      <c r="P14" s="164">
        <f t="shared" si="0"/>
        <v>153041869.71919799</v>
      </c>
      <c r="Q14" s="165">
        <f t="shared" si="3"/>
        <v>6474218.7995468937</v>
      </c>
      <c r="R14" s="165">
        <f t="shared" si="4"/>
        <v>2994956.1039196346</v>
      </c>
      <c r="S14" s="165">
        <f t="shared" si="5"/>
        <v>9469174.9034665283</v>
      </c>
      <c r="T14" s="165">
        <f t="shared" si="6"/>
        <v>20762195.305615015</v>
      </c>
      <c r="U14" s="165">
        <f t="shared" si="7"/>
        <v>8612395.0256424006</v>
      </c>
      <c r="V14" s="165">
        <f t="shared" si="8"/>
        <v>91832914.251722276</v>
      </c>
      <c r="W14" s="165">
        <f t="shared" si="9"/>
        <v>41303540.03968484</v>
      </c>
      <c r="X14" s="166">
        <f t="shared" si="10"/>
        <v>49915935.065327242</v>
      </c>
    </row>
    <row r="15" spans="1:24">
      <c r="A15" s="9" t="s">
        <v>3413</v>
      </c>
      <c r="D15" s="9" t="s">
        <v>487</v>
      </c>
      <c r="E15" s="9" t="s">
        <v>2718</v>
      </c>
      <c r="F15" s="4" t="s">
        <v>62</v>
      </c>
      <c r="G15" s="9" t="s">
        <v>63</v>
      </c>
      <c r="H15" s="164">
        <v>4845643.2110537877</v>
      </c>
      <c r="I15" s="165">
        <v>5869713.3362896852</v>
      </c>
      <c r="J15" s="165">
        <v>3082936.3891794672</v>
      </c>
      <c r="K15" s="165">
        <v>6693199.746081057</v>
      </c>
      <c r="L15" s="177">
        <f t="shared" si="1"/>
        <v>7928579.600233255</v>
      </c>
      <c r="M15" s="166">
        <f t="shared" si="2"/>
        <v>12562913.082370743</v>
      </c>
      <c r="N15" s="189">
        <f>INDEX('CHIRP Payment Calc'!AM:AM,MATCH(F15,'CHIRP Payment Calc'!C:C,0))</f>
        <v>1.04</v>
      </c>
      <c r="O15" s="189">
        <f>INDEX('CHIRP Payment Calc'!AL:AL,MATCH(FeeCalc!F15,'CHIRP Payment Calc'!C:C,0))</f>
        <v>1.25</v>
      </c>
      <c r="P15" s="164">
        <f t="shared" si="0"/>
        <v>23949364.137206014</v>
      </c>
      <c r="Q15" s="165">
        <f t="shared" si="3"/>
        <v>755071.73481892585</v>
      </c>
      <c r="R15" s="165">
        <f t="shared" si="4"/>
        <v>738686.39536263631</v>
      </c>
      <c r="S15" s="165">
        <f t="shared" si="5"/>
        <v>1493758.1301815622</v>
      </c>
      <c r="T15" s="165">
        <f t="shared" si="6"/>
        <v>5346916.6466800412</v>
      </c>
      <c r="U15" s="165">
        <f t="shared" si="7"/>
        <v>3410908.3454751559</v>
      </c>
      <c r="V15" s="165">
        <f t="shared" si="8"/>
        <v>7784765.6979969293</v>
      </c>
      <c r="W15" s="165">
        <f t="shared" si="9"/>
        <v>8900531.5772354491</v>
      </c>
      <c r="X15" s="166">
        <f t="shared" si="10"/>
        <v>12311439.922710605</v>
      </c>
    </row>
    <row r="16" spans="1:24">
      <c r="D16" s="9" t="s">
        <v>487</v>
      </c>
      <c r="E16" s="9" t="s">
        <v>2718</v>
      </c>
      <c r="F16" s="4" t="s">
        <v>327</v>
      </c>
      <c r="G16" s="9" t="s">
        <v>3439</v>
      </c>
      <c r="H16" s="164">
        <v>420336.72819285461</v>
      </c>
      <c r="I16" s="165">
        <v>525825.55136437668</v>
      </c>
      <c r="J16" s="165">
        <v>157911.41806876354</v>
      </c>
      <c r="K16" s="165">
        <v>1068570.2455373786</v>
      </c>
      <c r="L16" s="177">
        <f t="shared" si="1"/>
        <v>578248.14626161812</v>
      </c>
      <c r="M16" s="166">
        <f t="shared" si="2"/>
        <v>1594395.7969017553</v>
      </c>
      <c r="N16" s="189">
        <f>INDEX('CHIRP Payment Calc'!AM:AM,MATCH(F16,'CHIRP Payment Calc'!C:C,0))</f>
        <v>0.67</v>
      </c>
      <c r="O16" s="189">
        <f>INDEX('CHIRP Payment Calc'!AL:AL,MATCH(FeeCalc!F16,'CHIRP Payment Calc'!C:C,0))</f>
        <v>0.71</v>
      </c>
      <c r="P16" s="164">
        <f t="shared" si="0"/>
        <v>1519447.2737955304</v>
      </c>
      <c r="Q16" s="165">
        <f t="shared" si="3"/>
        <v>39957.878608042876</v>
      </c>
      <c r="R16" s="165">
        <f t="shared" si="4"/>
        <v>55179.927091762365</v>
      </c>
      <c r="S16" s="165">
        <f t="shared" si="5"/>
        <v>95137.805699805234</v>
      </c>
      <c r="T16" s="165">
        <f t="shared" si="6"/>
        <v>298807.01102303725</v>
      </c>
      <c r="U16" s="165">
        <f t="shared" si="7"/>
        <v>112553.88309156551</v>
      </c>
      <c r="V16" s="165">
        <f t="shared" si="8"/>
        <v>396112.61694292567</v>
      </c>
      <c r="W16" s="165">
        <f t="shared" si="9"/>
        <v>807111.56843780726</v>
      </c>
      <c r="X16" s="166">
        <f t="shared" si="10"/>
        <v>919665.45152937272</v>
      </c>
    </row>
    <row r="17" spans="4:24">
      <c r="D17" s="9" t="s">
        <v>487</v>
      </c>
      <c r="E17" s="9" t="s">
        <v>2718</v>
      </c>
      <c r="F17" s="4" t="s">
        <v>363</v>
      </c>
      <c r="G17" s="9" t="s">
        <v>3573</v>
      </c>
      <c r="H17" s="164">
        <v>846531.19401967514</v>
      </c>
      <c r="I17" s="165">
        <v>1035197.1230053707</v>
      </c>
      <c r="J17" s="165">
        <v>192347.49300153329</v>
      </c>
      <c r="K17" s="165">
        <v>662313.72730436188</v>
      </c>
      <c r="L17" s="177">
        <f t="shared" si="1"/>
        <v>1038878.6870212085</v>
      </c>
      <c r="M17" s="166">
        <f t="shared" si="2"/>
        <v>1697510.8503097326</v>
      </c>
      <c r="N17" s="189">
        <f>INDEX('CHIRP Payment Calc'!AM:AM,MATCH(F17,'CHIRP Payment Calc'!C:C,0))</f>
        <v>1.1100000000000001</v>
      </c>
      <c r="O17" s="189">
        <f>INDEX('CHIRP Payment Calc'!AL:AL,MATCH(FeeCalc!F17,'CHIRP Payment Calc'!C:C,0))</f>
        <v>1.8399999999999999</v>
      </c>
      <c r="P17" s="164">
        <f t="shared" si="0"/>
        <v>4276575.307163449</v>
      </c>
      <c r="Q17" s="165">
        <f t="shared" si="3"/>
        <v>173531.78681408378</v>
      </c>
      <c r="R17" s="165">
        <f t="shared" si="4"/>
        <v>91414.658008833707</v>
      </c>
      <c r="S17" s="165">
        <f t="shared" si="5"/>
        <v>264946.44482291746</v>
      </c>
      <c r="T17" s="165">
        <f t="shared" si="6"/>
        <v>996975.72982688528</v>
      </c>
      <c r="U17" s="165">
        <f t="shared" si="7"/>
        <v>227133.7417358532</v>
      </c>
      <c r="V17" s="165">
        <f t="shared" si="8"/>
        <v>2020968.3886789198</v>
      </c>
      <c r="W17" s="165">
        <f t="shared" si="9"/>
        <v>1296443.8917447084</v>
      </c>
      <c r="X17" s="166">
        <f t="shared" si="10"/>
        <v>1523577.6334805617</v>
      </c>
    </row>
    <row r="18" spans="4:24">
      <c r="D18" s="9" t="s">
        <v>487</v>
      </c>
      <c r="E18" s="9" t="s">
        <v>2718</v>
      </c>
      <c r="F18" s="4" t="s">
        <v>1465</v>
      </c>
      <c r="G18" s="9" t="s">
        <v>3129</v>
      </c>
      <c r="H18" s="164">
        <v>0</v>
      </c>
      <c r="I18" s="165">
        <v>262742.96210703498</v>
      </c>
      <c r="J18" s="165">
        <v>0</v>
      </c>
      <c r="K18" s="165">
        <v>609991.45800155308</v>
      </c>
      <c r="L18" s="177">
        <f t="shared" si="1"/>
        <v>0</v>
      </c>
      <c r="M18" s="166">
        <f t="shared" si="2"/>
        <v>872734.42010858806</v>
      </c>
      <c r="N18" s="189">
        <f>INDEX('CHIRP Payment Calc'!AM:AM,MATCH(F18,'CHIRP Payment Calc'!C:C,0))</f>
        <v>0.67</v>
      </c>
      <c r="O18" s="189">
        <f>INDEX('CHIRP Payment Calc'!AL:AL,MATCH(FeeCalc!F18,'CHIRP Payment Calc'!C:C,0))</f>
        <v>0.71</v>
      </c>
      <c r="P18" s="164">
        <f t="shared" si="0"/>
        <v>619641.43827709754</v>
      </c>
      <c r="Q18" s="165">
        <f t="shared" si="3"/>
        <v>11380.882151745043</v>
      </c>
      <c r="R18" s="165">
        <f t="shared" si="4"/>
        <v>27644.293734964001</v>
      </c>
      <c r="S18" s="165">
        <f t="shared" si="5"/>
        <v>39025.175886709047</v>
      </c>
      <c r="T18" s="165">
        <f t="shared" si="6"/>
        <v>0</v>
      </c>
      <c r="U18" s="165">
        <f t="shared" si="7"/>
        <v>0</v>
      </c>
      <c r="V18" s="165">
        <f t="shared" si="8"/>
        <v>197928.38524773988</v>
      </c>
      <c r="W18" s="165">
        <f t="shared" si="9"/>
        <v>460738.22891606664</v>
      </c>
      <c r="X18" s="166">
        <f t="shared" si="10"/>
        <v>460738.22891606664</v>
      </c>
    </row>
    <row r="19" spans="4:24">
      <c r="D19" s="9" t="s">
        <v>487</v>
      </c>
      <c r="E19" s="9" t="s">
        <v>2718</v>
      </c>
      <c r="F19" s="4" t="s">
        <v>1296</v>
      </c>
      <c r="G19" s="9" t="s">
        <v>3574</v>
      </c>
      <c r="H19" s="164">
        <v>16317568.438497687</v>
      </c>
      <c r="I19" s="165">
        <v>34978329.310248837</v>
      </c>
      <c r="J19" s="165">
        <v>6259405.5381022347</v>
      </c>
      <c r="K19" s="165">
        <v>17691054.352418479</v>
      </c>
      <c r="L19" s="177">
        <f t="shared" si="1"/>
        <v>22576973.976599921</v>
      </c>
      <c r="M19" s="166">
        <f t="shared" si="2"/>
        <v>52669383.662667319</v>
      </c>
      <c r="N19" s="189">
        <f>INDEX('CHIRP Payment Calc'!AM:AM,MATCH(F19,'CHIRP Payment Calc'!C:C,0))</f>
        <v>0.8</v>
      </c>
      <c r="O19" s="189">
        <f>INDEX('CHIRP Payment Calc'!AL:AL,MATCH(FeeCalc!F19,'CHIRP Payment Calc'!C:C,0))</f>
        <v>1.52</v>
      </c>
      <c r="P19" s="164">
        <f t="shared" si="0"/>
        <v>98119042.348534271</v>
      </c>
      <c r="Q19" s="165">
        <f t="shared" si="3"/>
        <v>4040014.9919221671</v>
      </c>
      <c r="R19" s="165">
        <f t="shared" si="4"/>
        <v>2036037.8965632687</v>
      </c>
      <c r="S19" s="165">
        <f t="shared" si="5"/>
        <v>6076052.8884854354</v>
      </c>
      <c r="T19" s="165">
        <f t="shared" si="6"/>
        <v>13850455.969016604</v>
      </c>
      <c r="U19" s="165">
        <f t="shared" si="7"/>
        <v>5327153.6494487114</v>
      </c>
      <c r="V19" s="165">
        <f t="shared" si="8"/>
        <v>56410674.325281948</v>
      </c>
      <c r="W19" s="165">
        <f t="shared" si="9"/>
        <v>28606811.293272436</v>
      </c>
      <c r="X19" s="166">
        <f t="shared" si="10"/>
        <v>33933964.942721143</v>
      </c>
    </row>
    <row r="20" spans="4:24">
      <c r="D20" s="9" t="s">
        <v>487</v>
      </c>
      <c r="E20" s="9" t="s">
        <v>2718</v>
      </c>
      <c r="F20" s="4" t="s">
        <v>866</v>
      </c>
      <c r="G20" s="9" t="s">
        <v>3531</v>
      </c>
      <c r="H20" s="164">
        <v>1080897.3886497589</v>
      </c>
      <c r="I20" s="165">
        <v>8795287.2976141237</v>
      </c>
      <c r="J20" s="165">
        <v>610037.71370106551</v>
      </c>
      <c r="K20" s="165">
        <v>2255363.0543552944</v>
      </c>
      <c r="L20" s="177">
        <f t="shared" si="1"/>
        <v>1690935.1023508245</v>
      </c>
      <c r="M20" s="166">
        <f t="shared" si="2"/>
        <v>11050650.351969417</v>
      </c>
      <c r="N20" s="189">
        <f>INDEX('CHIRP Payment Calc'!AM:AM,MATCH(F20,'CHIRP Payment Calc'!C:C,0))</f>
        <v>1.24</v>
      </c>
      <c r="O20" s="189">
        <f>INDEX('CHIRP Payment Calc'!AL:AL,MATCH(FeeCalc!F20,'CHIRP Payment Calc'!C:C,0))</f>
        <v>1.23</v>
      </c>
      <c r="P20" s="164">
        <f t="shared" si="0"/>
        <v>15689059.459837407</v>
      </c>
      <c r="Q20" s="165">
        <f t="shared" si="3"/>
        <v>741766.23653526453</v>
      </c>
      <c r="R20" s="165">
        <f t="shared" si="4"/>
        <v>225353.82905402133</v>
      </c>
      <c r="S20" s="165">
        <f t="shared" si="5"/>
        <v>967120.06558928592</v>
      </c>
      <c r="T20" s="165">
        <f t="shared" si="6"/>
        <v>1422082.5060219639</v>
      </c>
      <c r="U20" s="165">
        <f t="shared" si="7"/>
        <v>804730.60105246946</v>
      </c>
      <c r="V20" s="165">
        <f t="shared" si="8"/>
        <v>11478199.868504375</v>
      </c>
      <c r="W20" s="165">
        <f t="shared" si="9"/>
        <v>2951166.5498478855</v>
      </c>
      <c r="X20" s="166">
        <f t="shared" si="10"/>
        <v>3755897.1509003551</v>
      </c>
    </row>
    <row r="21" spans="4:24">
      <c r="D21" s="9" t="s">
        <v>487</v>
      </c>
      <c r="E21" s="9" t="s">
        <v>2718</v>
      </c>
      <c r="F21" s="4" t="s">
        <v>133</v>
      </c>
      <c r="G21" s="9" t="s">
        <v>3316</v>
      </c>
      <c r="H21" s="164">
        <v>6391746.7209189432</v>
      </c>
      <c r="I21" s="165">
        <v>155813.50260348438</v>
      </c>
      <c r="J21" s="165">
        <v>1699494.0150502757</v>
      </c>
      <c r="K21" s="165">
        <v>144348.75092649108</v>
      </c>
      <c r="L21" s="177">
        <f t="shared" si="1"/>
        <v>8091240.7359692194</v>
      </c>
      <c r="M21" s="166">
        <f t="shared" si="2"/>
        <v>300162.25352997542</v>
      </c>
      <c r="N21" s="189">
        <f>INDEX('CHIRP Payment Calc'!AM:AM,MATCH(F21,'CHIRP Payment Calc'!C:C,0))</f>
        <v>1.02</v>
      </c>
      <c r="O21" s="189">
        <f>INDEX('CHIRP Payment Calc'!AL:AL,MATCH(FeeCalc!F21,'CHIRP Payment Calc'!C:C,0))</f>
        <v>1.48</v>
      </c>
      <c r="P21" s="164">
        <f t="shared" si="0"/>
        <v>8697305.6859129667</v>
      </c>
      <c r="Q21" s="165">
        <f t="shared" si="3"/>
        <v>411815.03899570566</v>
      </c>
      <c r="R21" s="165">
        <f t="shared" si="4"/>
        <v>124284.2583014354</v>
      </c>
      <c r="S21" s="165">
        <f t="shared" si="5"/>
        <v>536099.29729714105</v>
      </c>
      <c r="T21" s="165">
        <f t="shared" si="6"/>
        <v>6917328.0162730208</v>
      </c>
      <c r="U21" s="165">
        <f t="shared" si="7"/>
        <v>1844131.8035651927</v>
      </c>
      <c r="V21" s="165">
        <f t="shared" si="8"/>
        <v>244672.66191316381</v>
      </c>
      <c r="W21" s="165">
        <f t="shared" si="9"/>
        <v>227272.50145873064</v>
      </c>
      <c r="X21" s="166">
        <f t="shared" si="10"/>
        <v>2071404.3050239233</v>
      </c>
    </row>
    <row r="22" spans="4:24">
      <c r="D22" s="9" t="s">
        <v>487</v>
      </c>
      <c r="E22" s="9" t="s">
        <v>2718</v>
      </c>
      <c r="F22" s="4" t="s">
        <v>1281</v>
      </c>
      <c r="G22" s="9" t="s">
        <v>3331</v>
      </c>
      <c r="H22" s="164">
        <v>2445674.6853642049</v>
      </c>
      <c r="I22" s="165">
        <v>1473143.6013749833</v>
      </c>
      <c r="J22" s="165">
        <v>1511259.2218966342</v>
      </c>
      <c r="K22" s="165">
        <v>477992.56382252177</v>
      </c>
      <c r="L22" s="177">
        <f t="shared" si="1"/>
        <v>3956933.9072608389</v>
      </c>
      <c r="M22" s="166">
        <f t="shared" si="2"/>
        <v>1951136.1651975051</v>
      </c>
      <c r="N22" s="189">
        <f>INDEX('CHIRP Payment Calc'!AM:AM,MATCH(F22,'CHIRP Payment Calc'!C:C,0))</f>
        <v>0.76</v>
      </c>
      <c r="O22" s="189">
        <f>INDEX('CHIRP Payment Calc'!AL:AL,MATCH(FeeCalc!F22,'CHIRP Payment Calc'!C:C,0))</f>
        <v>0.95</v>
      </c>
      <c r="P22" s="164">
        <f t="shared" si="0"/>
        <v>4860849.1264558677</v>
      </c>
      <c r="Q22" s="165">
        <f t="shared" si="3"/>
        <v>198776.07742761192</v>
      </c>
      <c r="R22" s="165">
        <f t="shared" si="4"/>
        <v>102296.80495358541</v>
      </c>
      <c r="S22" s="165">
        <f t="shared" si="5"/>
        <v>301072.8823811973</v>
      </c>
      <c r="T22" s="165">
        <f t="shared" si="6"/>
        <v>1972109.030108006</v>
      </c>
      <c r="U22" s="165">
        <f t="shared" si="7"/>
        <v>1221869.1581291938</v>
      </c>
      <c r="V22" s="165">
        <f t="shared" si="8"/>
        <v>1484866.2295026355</v>
      </c>
      <c r="W22" s="165">
        <f t="shared" si="9"/>
        <v>483077.59109722945</v>
      </c>
      <c r="X22" s="166">
        <f t="shared" si="10"/>
        <v>1704946.7492264232</v>
      </c>
    </row>
    <row r="23" spans="4:24">
      <c r="D23" s="9" t="s">
        <v>487</v>
      </c>
      <c r="E23" s="9" t="s">
        <v>2718</v>
      </c>
      <c r="F23" s="4" t="s">
        <v>1204</v>
      </c>
      <c r="G23" s="9" t="s">
        <v>3097</v>
      </c>
      <c r="H23" s="164">
        <v>45559457.89096684</v>
      </c>
      <c r="I23" s="165">
        <v>45248689.618974723</v>
      </c>
      <c r="J23" s="165">
        <v>15806954.188756529</v>
      </c>
      <c r="K23" s="165">
        <v>21599789.083521936</v>
      </c>
      <c r="L23" s="177">
        <f t="shared" si="1"/>
        <v>61366412.079723373</v>
      </c>
      <c r="M23" s="166">
        <f t="shared" si="2"/>
        <v>66848478.702496663</v>
      </c>
      <c r="N23" s="189">
        <f>INDEX('CHIRP Payment Calc'!AM:AM,MATCH(F23,'CHIRP Payment Calc'!C:C,0))</f>
        <v>0.67</v>
      </c>
      <c r="O23" s="189">
        <f>INDEX('CHIRP Payment Calc'!AL:AL,MATCH(FeeCalc!F23,'CHIRP Payment Calc'!C:C,0))</f>
        <v>0.71</v>
      </c>
      <c r="P23" s="164">
        <f t="shared" si="0"/>
        <v>88577915.972187296</v>
      </c>
      <c r="Q23" s="165">
        <f t="shared" si="3"/>
        <v>3822234.343707311</v>
      </c>
      <c r="R23" s="165">
        <f t="shared" si="4"/>
        <v>1654883.5886660076</v>
      </c>
      <c r="S23" s="165">
        <f t="shared" si="5"/>
        <v>5477117.9323733188</v>
      </c>
      <c r="T23" s="165">
        <f t="shared" si="6"/>
        <v>32387094.734162103</v>
      </c>
      <c r="U23" s="165">
        <f t="shared" si="7"/>
        <v>11266658.836666889</v>
      </c>
      <c r="V23" s="165">
        <f t="shared" si="8"/>
        <v>34086546.025965042</v>
      </c>
      <c r="W23" s="165">
        <f t="shared" si="9"/>
        <v>16314734.307766568</v>
      </c>
      <c r="X23" s="166">
        <f t="shared" si="10"/>
        <v>27581393.144433457</v>
      </c>
    </row>
    <row r="24" spans="4:24">
      <c r="D24" s="9" t="s">
        <v>487</v>
      </c>
      <c r="E24" s="9" t="s">
        <v>2718</v>
      </c>
      <c r="F24" s="4" t="s">
        <v>1226</v>
      </c>
      <c r="G24" s="9" t="s">
        <v>3375</v>
      </c>
      <c r="H24" s="164">
        <v>2345916.5516562266</v>
      </c>
      <c r="I24" s="165">
        <v>7384653.726813091</v>
      </c>
      <c r="J24" s="165">
        <v>862259.97961834702</v>
      </c>
      <c r="K24" s="165">
        <v>4053134.6789213228</v>
      </c>
      <c r="L24" s="177">
        <f t="shared" si="1"/>
        <v>3208176.5312745739</v>
      </c>
      <c r="M24" s="166">
        <f t="shared" si="2"/>
        <v>11437788.405734414</v>
      </c>
      <c r="N24" s="189">
        <f>INDEX('CHIRP Payment Calc'!AM:AM,MATCH(F24,'CHIRP Payment Calc'!C:C,0))</f>
        <v>1.24</v>
      </c>
      <c r="O24" s="189">
        <f>INDEX('CHIRP Payment Calc'!AL:AL,MATCH(FeeCalc!F24,'CHIRP Payment Calc'!C:C,0))</f>
        <v>1.45</v>
      </c>
      <c r="P24" s="164">
        <f t="shared" si="0"/>
        <v>20562932.087095372</v>
      </c>
      <c r="Q24" s="165">
        <f t="shared" si="3"/>
        <v>830726.10568289692</v>
      </c>
      <c r="R24" s="165">
        <f t="shared" si="4"/>
        <v>443377.51015931932</v>
      </c>
      <c r="S24" s="165">
        <f t="shared" si="5"/>
        <v>1274103.6158422162</v>
      </c>
      <c r="T24" s="165">
        <f t="shared" si="6"/>
        <v>3086404.8000569982</v>
      </c>
      <c r="U24" s="165">
        <f t="shared" si="7"/>
        <v>1137449.3348156919</v>
      </c>
      <c r="V24" s="165">
        <f t="shared" si="8"/>
        <v>11361005.733558601</v>
      </c>
      <c r="W24" s="165">
        <f t="shared" si="9"/>
        <v>6252175.8345062956</v>
      </c>
      <c r="X24" s="166">
        <f t="shared" si="10"/>
        <v>7389625.1693219878</v>
      </c>
    </row>
    <row r="25" spans="4:24">
      <c r="D25" s="9" t="s">
        <v>223</v>
      </c>
      <c r="E25" s="9" t="s">
        <v>1552</v>
      </c>
      <c r="F25" s="4" t="s">
        <v>56</v>
      </c>
      <c r="G25" s="9" t="s">
        <v>3414</v>
      </c>
      <c r="H25" s="164">
        <v>155297184.3454085</v>
      </c>
      <c r="I25" s="165">
        <v>161373661.9907096</v>
      </c>
      <c r="J25" s="165">
        <v>864502.32641247264</v>
      </c>
      <c r="K25" s="165">
        <v>397924.04724179395</v>
      </c>
      <c r="L25" s="177">
        <f t="shared" si="1"/>
        <v>156161686.67182097</v>
      </c>
      <c r="M25" s="166">
        <f t="shared" si="2"/>
        <v>161771586.03795141</v>
      </c>
      <c r="N25" s="189">
        <f>INDEX('CHIRP Payment Calc'!AM:AM,MATCH(F25,'CHIRP Payment Calc'!C:C,0))</f>
        <v>0.42</v>
      </c>
      <c r="O25" s="189">
        <f>INDEX('CHIRP Payment Calc'!AL:AL,MATCH(FeeCalc!F25,'CHIRP Payment Calc'!C:C,0))</f>
        <v>1.6</v>
      </c>
      <c r="P25" s="164">
        <f t="shared" si="0"/>
        <v>324422446.06288707</v>
      </c>
      <c r="Q25" s="165">
        <f t="shared" si="3"/>
        <v>19731356.928474162</v>
      </c>
      <c r="R25" s="165">
        <f t="shared" si="4"/>
        <v>63815.071447666523</v>
      </c>
      <c r="S25" s="165">
        <f t="shared" si="5"/>
        <v>19795171.999921829</v>
      </c>
      <c r="T25" s="165">
        <f t="shared" si="6"/>
        <v>69204050.318378329</v>
      </c>
      <c r="U25" s="165">
        <f t="shared" si="7"/>
        <v>386266.99690770055</v>
      </c>
      <c r="V25" s="165">
        <f t="shared" si="8"/>
        <v>273949983.22030276</v>
      </c>
      <c r="W25" s="165">
        <f t="shared" si="9"/>
        <v>677317.5272200749</v>
      </c>
      <c r="X25" s="166">
        <f t="shared" si="10"/>
        <v>1063584.5241277753</v>
      </c>
    </row>
    <row r="26" spans="4:24">
      <c r="D26" s="9" t="s">
        <v>223</v>
      </c>
      <c r="E26" s="9" t="s">
        <v>1552</v>
      </c>
      <c r="F26" s="4" t="s">
        <v>59</v>
      </c>
      <c r="G26" s="9" t="s">
        <v>3094</v>
      </c>
      <c r="H26" s="164">
        <v>36068680.703387305</v>
      </c>
      <c r="I26" s="165">
        <v>16684424.605038654</v>
      </c>
      <c r="J26" s="165">
        <v>33518.847837489135</v>
      </c>
      <c r="K26" s="165">
        <v>0</v>
      </c>
      <c r="L26" s="177">
        <f t="shared" si="1"/>
        <v>36102199.551224798</v>
      </c>
      <c r="M26" s="166">
        <f t="shared" si="2"/>
        <v>16684424.605038654</v>
      </c>
      <c r="N26" s="189">
        <f>INDEX('CHIRP Payment Calc'!AM:AM,MATCH(F26,'CHIRP Payment Calc'!C:C,0))</f>
        <v>0.42</v>
      </c>
      <c r="O26" s="189">
        <f>INDEX('CHIRP Payment Calc'!AL:AL,MATCH(FeeCalc!F26,'CHIRP Payment Calc'!C:C,0))</f>
        <v>1.6</v>
      </c>
      <c r="P26" s="164">
        <f t="shared" si="0"/>
        <v>41858003.179576263</v>
      </c>
      <c r="Q26" s="165">
        <f t="shared" si="3"/>
        <v>2552812.4166051559</v>
      </c>
      <c r="R26" s="165">
        <f t="shared" si="4"/>
        <v>898.59038883481526</v>
      </c>
      <c r="S26" s="165">
        <f t="shared" si="5"/>
        <v>2553711.0069939909</v>
      </c>
      <c r="T26" s="165">
        <f t="shared" si="6"/>
        <v>16073046.04288877</v>
      </c>
      <c r="U26" s="165">
        <f t="shared" si="7"/>
        <v>14976.506480580252</v>
      </c>
      <c r="V26" s="165">
        <f t="shared" si="8"/>
        <v>28323691.637200899</v>
      </c>
      <c r="W26" s="165">
        <f t="shared" si="9"/>
        <v>0</v>
      </c>
      <c r="X26" s="166">
        <f t="shared" si="10"/>
        <v>14976.506480580252</v>
      </c>
    </row>
    <row r="27" spans="4:24">
      <c r="D27" s="9" t="s">
        <v>223</v>
      </c>
      <c r="E27" s="9" t="s">
        <v>1552</v>
      </c>
      <c r="F27" s="4" t="s">
        <v>438</v>
      </c>
      <c r="G27" s="9" t="s">
        <v>3564</v>
      </c>
      <c r="H27" s="164">
        <v>2207063.2787801209</v>
      </c>
      <c r="I27" s="165">
        <v>5707801.8888116861</v>
      </c>
      <c r="J27" s="165">
        <v>9614.0298613698087</v>
      </c>
      <c r="K27" s="165">
        <v>36574.16428273105</v>
      </c>
      <c r="L27" s="177">
        <f t="shared" si="1"/>
        <v>2216677.3086414905</v>
      </c>
      <c r="M27" s="166">
        <f t="shared" si="2"/>
        <v>5744376.0530944169</v>
      </c>
      <c r="N27" s="189">
        <f>INDEX('CHIRP Payment Calc'!AM:AM,MATCH(F27,'CHIRP Payment Calc'!C:C,0))</f>
        <v>0.77</v>
      </c>
      <c r="O27" s="189">
        <f>INDEX('CHIRP Payment Calc'!AL:AL,MATCH(FeeCalc!F27,'CHIRP Payment Calc'!C:C,0))</f>
        <v>1.6</v>
      </c>
      <c r="P27" s="164">
        <f t="shared" si="0"/>
        <v>10897843.212605014</v>
      </c>
      <c r="Q27" s="165">
        <f t="shared" si="3"/>
        <v>660833.42221609026</v>
      </c>
      <c r="R27" s="165">
        <f t="shared" si="4"/>
        <v>4207.7531390824115</v>
      </c>
      <c r="S27" s="165">
        <f t="shared" si="5"/>
        <v>665041.17535517272</v>
      </c>
      <c r="T27" s="165">
        <f t="shared" si="6"/>
        <v>1803118.0102500722</v>
      </c>
      <c r="U27" s="165">
        <f t="shared" si="7"/>
        <v>7875.3223332497373</v>
      </c>
      <c r="V27" s="165">
        <f t="shared" si="8"/>
        <v>9689637.1587254088</v>
      </c>
      <c r="W27" s="165">
        <f t="shared" si="9"/>
        <v>62253.896651457115</v>
      </c>
      <c r="X27" s="166">
        <f t="shared" si="10"/>
        <v>70129.218984706851</v>
      </c>
    </row>
    <row r="28" spans="4:24">
      <c r="D28" s="9" t="s">
        <v>223</v>
      </c>
      <c r="E28" s="9" t="s">
        <v>3069</v>
      </c>
      <c r="F28" s="4" t="s">
        <v>1257</v>
      </c>
      <c r="G28" s="9" t="s">
        <v>3532</v>
      </c>
      <c r="H28" s="164">
        <v>0</v>
      </c>
      <c r="I28" s="165">
        <v>1467977.6289127893</v>
      </c>
      <c r="J28" s="165">
        <v>0</v>
      </c>
      <c r="K28" s="165">
        <v>0</v>
      </c>
      <c r="L28" s="177">
        <f t="shared" si="1"/>
        <v>0</v>
      </c>
      <c r="M28" s="166">
        <f t="shared" si="2"/>
        <v>1467977.6289127893</v>
      </c>
      <c r="N28" s="189">
        <f>INDEX('CHIRP Payment Calc'!AM:AM,MATCH(F28,'CHIRP Payment Calc'!C:C,0))</f>
        <v>0</v>
      </c>
      <c r="O28" s="189">
        <f>INDEX('CHIRP Payment Calc'!AL:AL,MATCH(FeeCalc!F28,'CHIRP Payment Calc'!C:C,0))</f>
        <v>0.03</v>
      </c>
      <c r="P28" s="164">
        <f t="shared" si="0"/>
        <v>44039.32886738368</v>
      </c>
      <c r="Q28" s="165">
        <f t="shared" si="3"/>
        <v>2686.7495064982086</v>
      </c>
      <c r="R28" s="165">
        <f t="shared" si="4"/>
        <v>0</v>
      </c>
      <c r="S28" s="165">
        <f t="shared" si="5"/>
        <v>2686.7495064982086</v>
      </c>
      <c r="T28" s="165">
        <f t="shared" si="6"/>
        <v>0</v>
      </c>
      <c r="U28" s="165">
        <f t="shared" si="7"/>
        <v>0</v>
      </c>
      <c r="V28" s="165">
        <f t="shared" si="8"/>
        <v>46726.078373881886</v>
      </c>
      <c r="W28" s="165">
        <f t="shared" si="9"/>
        <v>0</v>
      </c>
      <c r="X28" s="166">
        <f t="shared" si="10"/>
        <v>0</v>
      </c>
    </row>
    <row r="29" spans="4:24">
      <c r="D29" s="9" t="s">
        <v>223</v>
      </c>
      <c r="E29" s="9" t="s">
        <v>3069</v>
      </c>
      <c r="F29" s="4" t="s">
        <v>1235</v>
      </c>
      <c r="G29" s="9" t="s">
        <v>3083</v>
      </c>
      <c r="H29" s="164">
        <v>0</v>
      </c>
      <c r="I29" s="165">
        <v>1833367.8338286444</v>
      </c>
      <c r="J29" s="165">
        <v>0</v>
      </c>
      <c r="K29" s="165">
        <v>0</v>
      </c>
      <c r="L29" s="177">
        <f t="shared" si="1"/>
        <v>0</v>
      </c>
      <c r="M29" s="166">
        <f t="shared" si="2"/>
        <v>1833367.8338286444</v>
      </c>
      <c r="N29" s="189">
        <f>INDEX('CHIRP Payment Calc'!AM:AM,MATCH(F29,'CHIRP Payment Calc'!C:C,0))</f>
        <v>0</v>
      </c>
      <c r="O29" s="189">
        <f>INDEX('CHIRP Payment Calc'!AL:AL,MATCH(FeeCalc!F29,'CHIRP Payment Calc'!C:C,0))</f>
        <v>0.21</v>
      </c>
      <c r="P29" s="164">
        <f t="shared" si="0"/>
        <v>385007.24510401528</v>
      </c>
      <c r="Q29" s="165">
        <f t="shared" si="3"/>
        <v>23488.505669475737</v>
      </c>
      <c r="R29" s="165">
        <f t="shared" si="4"/>
        <v>0</v>
      </c>
      <c r="S29" s="165">
        <f t="shared" si="5"/>
        <v>23488.505669475737</v>
      </c>
      <c r="T29" s="165">
        <f t="shared" si="6"/>
        <v>0</v>
      </c>
      <c r="U29" s="165">
        <f t="shared" si="7"/>
        <v>0</v>
      </c>
      <c r="V29" s="165">
        <f t="shared" si="8"/>
        <v>408495.75077349105</v>
      </c>
      <c r="W29" s="165">
        <f t="shared" si="9"/>
        <v>0</v>
      </c>
      <c r="X29" s="166">
        <f t="shared" si="10"/>
        <v>0</v>
      </c>
    </row>
    <row r="30" spans="4:24">
      <c r="D30" s="9" t="s">
        <v>223</v>
      </c>
      <c r="E30" s="9" t="s">
        <v>3069</v>
      </c>
      <c r="F30" s="4" t="s">
        <v>1251</v>
      </c>
      <c r="G30" s="9" t="s">
        <v>2957</v>
      </c>
      <c r="H30" s="164">
        <v>0</v>
      </c>
      <c r="I30" s="165">
        <v>861115.13209378242</v>
      </c>
      <c r="J30" s="165">
        <v>0</v>
      </c>
      <c r="K30" s="165">
        <v>0</v>
      </c>
      <c r="L30" s="177">
        <f t="shared" si="1"/>
        <v>0</v>
      </c>
      <c r="M30" s="166">
        <f t="shared" si="2"/>
        <v>861115.13209378242</v>
      </c>
      <c r="N30" s="189">
        <f>INDEX('CHIRP Payment Calc'!AM:AM,MATCH(F30,'CHIRP Payment Calc'!C:C,0))</f>
        <v>0</v>
      </c>
      <c r="O30" s="189">
        <f>INDEX('CHIRP Payment Calc'!AL:AL,MATCH(FeeCalc!F30,'CHIRP Payment Calc'!C:C,0))</f>
        <v>1.29</v>
      </c>
      <c r="P30" s="164">
        <f t="shared" si="0"/>
        <v>1110838.5204009793</v>
      </c>
      <c r="Q30" s="165">
        <f t="shared" si="3"/>
        <v>67769.989308282573</v>
      </c>
      <c r="R30" s="165">
        <f t="shared" si="4"/>
        <v>0</v>
      </c>
      <c r="S30" s="165">
        <f t="shared" si="5"/>
        <v>67769.989308282573</v>
      </c>
      <c r="T30" s="165">
        <f t="shared" si="6"/>
        <v>0</v>
      </c>
      <c r="U30" s="165">
        <f t="shared" si="7"/>
        <v>0</v>
      </c>
      <c r="V30" s="165">
        <f t="shared" si="8"/>
        <v>1178608.5097092621</v>
      </c>
      <c r="W30" s="165">
        <f t="shared" si="9"/>
        <v>0</v>
      </c>
      <c r="X30" s="166">
        <f t="shared" si="10"/>
        <v>0</v>
      </c>
    </row>
    <row r="31" spans="4:24">
      <c r="D31" s="9" t="s">
        <v>223</v>
      </c>
      <c r="E31" s="9" t="s">
        <v>3069</v>
      </c>
      <c r="F31" s="4" t="s">
        <v>1248</v>
      </c>
      <c r="G31" s="9" t="s">
        <v>3332</v>
      </c>
      <c r="H31" s="164">
        <v>0</v>
      </c>
      <c r="I31" s="165">
        <v>413788.18853977515</v>
      </c>
      <c r="J31" s="165">
        <v>0</v>
      </c>
      <c r="K31" s="165">
        <v>0</v>
      </c>
      <c r="L31" s="177">
        <f t="shared" si="1"/>
        <v>0</v>
      </c>
      <c r="M31" s="166">
        <f t="shared" si="2"/>
        <v>413788.18853977515</v>
      </c>
      <c r="N31" s="189">
        <f>INDEX('CHIRP Payment Calc'!AM:AM,MATCH(F31,'CHIRP Payment Calc'!C:C,0))</f>
        <v>0</v>
      </c>
      <c r="O31" s="189">
        <f>INDEX('CHIRP Payment Calc'!AL:AL,MATCH(FeeCalc!F31,'CHIRP Payment Calc'!C:C,0))</f>
        <v>1.05</v>
      </c>
      <c r="P31" s="164">
        <f t="shared" si="0"/>
        <v>434477.59796676395</v>
      </c>
      <c r="Q31" s="165">
        <f t="shared" si="3"/>
        <v>26506.590857388779</v>
      </c>
      <c r="R31" s="165">
        <f t="shared" si="4"/>
        <v>0</v>
      </c>
      <c r="S31" s="165">
        <f t="shared" si="5"/>
        <v>26506.590857388779</v>
      </c>
      <c r="T31" s="165">
        <f t="shared" si="6"/>
        <v>0</v>
      </c>
      <c r="U31" s="165">
        <f t="shared" si="7"/>
        <v>0</v>
      </c>
      <c r="V31" s="165">
        <f t="shared" si="8"/>
        <v>460984.18882415269</v>
      </c>
      <c r="W31" s="165">
        <f t="shared" si="9"/>
        <v>0</v>
      </c>
      <c r="X31" s="166">
        <f t="shared" si="10"/>
        <v>0</v>
      </c>
    </row>
    <row r="32" spans="4:24">
      <c r="D32" s="9" t="s">
        <v>223</v>
      </c>
      <c r="E32" s="9" t="s">
        <v>2768</v>
      </c>
      <c r="F32" s="4" t="s">
        <v>912</v>
      </c>
      <c r="G32" s="9" t="s">
        <v>2983</v>
      </c>
      <c r="H32" s="164">
        <v>1080451.5957069371</v>
      </c>
      <c r="I32" s="165">
        <v>2490901.7765796236</v>
      </c>
      <c r="J32" s="165">
        <v>576332.40681141661</v>
      </c>
      <c r="K32" s="165">
        <v>1547443.4149414345</v>
      </c>
      <c r="L32" s="177">
        <f t="shared" si="1"/>
        <v>1656784.0025183538</v>
      </c>
      <c r="M32" s="166">
        <f t="shared" si="2"/>
        <v>4038345.1915210579</v>
      </c>
      <c r="N32" s="189">
        <f>INDEX('CHIRP Payment Calc'!AM:AM,MATCH(F32,'CHIRP Payment Calc'!C:C,0))</f>
        <v>1.97</v>
      </c>
      <c r="O32" s="189">
        <f>INDEX('CHIRP Payment Calc'!AL:AL,MATCH(FeeCalc!F32,'CHIRP Payment Calc'!C:C,0))</f>
        <v>0.98</v>
      </c>
      <c r="P32" s="164">
        <f t="shared" si="0"/>
        <v>7221442.7726517934</v>
      </c>
      <c r="Q32" s="165">
        <f t="shared" si="3"/>
        <v>278780.33911296033</v>
      </c>
      <c r="R32" s="165">
        <f t="shared" si="4"/>
        <v>169268.25881241044</v>
      </c>
      <c r="S32" s="165">
        <f t="shared" si="5"/>
        <v>448048.59792537079</v>
      </c>
      <c r="T32" s="165">
        <f t="shared" si="6"/>
        <v>2258344.4493821389</v>
      </c>
      <c r="U32" s="165">
        <f t="shared" si="7"/>
        <v>1207845.575977118</v>
      </c>
      <c r="V32" s="165">
        <f t="shared" si="8"/>
        <v>2590009.2743215184</v>
      </c>
      <c r="W32" s="165">
        <f t="shared" si="9"/>
        <v>1613292.0708963892</v>
      </c>
      <c r="X32" s="166">
        <f t="shared" si="10"/>
        <v>2821137.6468735072</v>
      </c>
    </row>
    <row r="33" spans="4:24">
      <c r="D33" s="9" t="s">
        <v>223</v>
      </c>
      <c r="E33" s="9" t="s">
        <v>3389</v>
      </c>
      <c r="F33" s="4" t="s">
        <v>2795</v>
      </c>
      <c r="G33" s="9" t="s">
        <v>3161</v>
      </c>
      <c r="H33" s="164">
        <v>0</v>
      </c>
      <c r="I33" s="165">
        <v>157006.85230296309</v>
      </c>
      <c r="J33" s="165">
        <v>0</v>
      </c>
      <c r="K33" s="165">
        <v>0</v>
      </c>
      <c r="L33" s="177">
        <f t="shared" si="1"/>
        <v>0</v>
      </c>
      <c r="M33" s="166">
        <f t="shared" si="2"/>
        <v>157006.85230296309</v>
      </c>
      <c r="N33" s="189">
        <f>INDEX('CHIRP Payment Calc'!AM:AM,MATCH(F33,'CHIRP Payment Calc'!C:C,0))</f>
        <v>0</v>
      </c>
      <c r="O33" s="189">
        <f>INDEX('CHIRP Payment Calc'!AL:AL,MATCH(FeeCalc!F33,'CHIRP Payment Calc'!C:C,0))</f>
        <v>1.71</v>
      </c>
      <c r="P33" s="164">
        <f t="shared" si="0"/>
        <v>268481.7174380669</v>
      </c>
      <c r="Q33" s="165">
        <f t="shared" si="3"/>
        <v>16379.521223012038</v>
      </c>
      <c r="R33" s="165">
        <f t="shared" si="4"/>
        <v>0</v>
      </c>
      <c r="S33" s="165">
        <f t="shared" si="5"/>
        <v>16379.521223012038</v>
      </c>
      <c r="T33" s="165">
        <f t="shared" si="6"/>
        <v>0</v>
      </c>
      <c r="U33" s="165">
        <f t="shared" si="7"/>
        <v>0</v>
      </c>
      <c r="V33" s="165">
        <f t="shared" si="8"/>
        <v>284861.23866107891</v>
      </c>
      <c r="W33" s="165">
        <f t="shared" si="9"/>
        <v>0</v>
      </c>
      <c r="X33" s="166">
        <f t="shared" si="10"/>
        <v>0</v>
      </c>
    </row>
    <row r="34" spans="4:24">
      <c r="D34" s="9" t="s">
        <v>223</v>
      </c>
      <c r="E34" s="9" t="s">
        <v>3388</v>
      </c>
      <c r="F34" s="4" t="s">
        <v>466</v>
      </c>
      <c r="G34" s="9" t="s">
        <v>3141</v>
      </c>
      <c r="H34" s="164">
        <v>1800341.7405441178</v>
      </c>
      <c r="I34" s="165">
        <v>6555268.2781121787</v>
      </c>
      <c r="J34" s="165">
        <v>3676891.4134288412</v>
      </c>
      <c r="K34" s="165">
        <v>19068158.279025011</v>
      </c>
      <c r="L34" s="177">
        <f t="shared" si="1"/>
        <v>5477233.1539729591</v>
      </c>
      <c r="M34" s="166">
        <f t="shared" si="2"/>
        <v>25623426.557137191</v>
      </c>
      <c r="N34" s="189">
        <f>INDEX('CHIRP Payment Calc'!AM:AM,MATCH(F34,'CHIRP Payment Calc'!C:C,0))</f>
        <v>2.62</v>
      </c>
      <c r="O34" s="189">
        <f>INDEX('CHIRP Payment Calc'!AL:AL,MATCH(FeeCalc!F34,'CHIRP Payment Calc'!C:C,0))</f>
        <v>1.23</v>
      </c>
      <c r="P34" s="164">
        <f t="shared" si="0"/>
        <v>45867165.528687894</v>
      </c>
      <c r="Q34" s="165">
        <f t="shared" si="3"/>
        <v>779674.09250127885</v>
      </c>
      <c r="R34" s="165">
        <f t="shared" si="4"/>
        <v>2111954.6927479361</v>
      </c>
      <c r="S34" s="165">
        <f t="shared" si="5"/>
        <v>2891628.7852492151</v>
      </c>
      <c r="T34" s="165">
        <f t="shared" si="6"/>
        <v>5004663.5121756913</v>
      </c>
      <c r="U34" s="165">
        <f t="shared" si="7"/>
        <v>10248356.918280387</v>
      </c>
      <c r="V34" s="165">
        <f t="shared" si="8"/>
        <v>8554885.9226291571</v>
      </c>
      <c r="W34" s="165">
        <f t="shared" si="9"/>
        <v>24950887.960851878</v>
      </c>
      <c r="X34" s="166">
        <f t="shared" si="10"/>
        <v>35199244.879132263</v>
      </c>
    </row>
    <row r="35" spans="4:24">
      <c r="D35" s="9" t="s">
        <v>223</v>
      </c>
      <c r="E35" s="9" t="s">
        <v>2718</v>
      </c>
      <c r="F35" s="4" t="s">
        <v>268</v>
      </c>
      <c r="G35" s="9" t="s">
        <v>3350</v>
      </c>
      <c r="H35" s="164">
        <v>1093957.163740762</v>
      </c>
      <c r="I35" s="165">
        <v>2480880.0678150458</v>
      </c>
      <c r="J35" s="165">
        <v>642617.39808266691</v>
      </c>
      <c r="K35" s="165">
        <v>1605753.9126428403</v>
      </c>
      <c r="L35" s="177">
        <f t="shared" si="1"/>
        <v>1736574.5618234291</v>
      </c>
      <c r="M35" s="166">
        <f t="shared" si="2"/>
        <v>4086633.9804578861</v>
      </c>
      <c r="N35" s="189">
        <f>INDEX('CHIRP Payment Calc'!AM:AM,MATCH(F35,'CHIRP Payment Calc'!C:C,0))</f>
        <v>1.9300000000000002</v>
      </c>
      <c r="O35" s="189">
        <f>INDEX('CHIRP Payment Calc'!AL:AL,MATCH(FeeCalc!F35,'CHIRP Payment Calc'!C:C,0))</f>
        <v>3.0999999999999996</v>
      </c>
      <c r="P35" s="164">
        <f t="shared" si="0"/>
        <v>16020154.243738662</v>
      </c>
      <c r="Q35" s="165">
        <f t="shared" si="3"/>
        <v>598003.99823253357</v>
      </c>
      <c r="R35" s="165">
        <f t="shared" si="4"/>
        <v>396899.27920163953</v>
      </c>
      <c r="S35" s="165">
        <f t="shared" si="5"/>
        <v>994903.27743417304</v>
      </c>
      <c r="T35" s="165">
        <f t="shared" si="6"/>
        <v>2240145.7039996511</v>
      </c>
      <c r="U35" s="165">
        <f t="shared" si="7"/>
        <v>1319416.572659093</v>
      </c>
      <c r="V35" s="165">
        <f t="shared" si="8"/>
        <v>8159923.8304791944</v>
      </c>
      <c r="W35" s="165">
        <f t="shared" si="9"/>
        <v>5295571.4140348984</v>
      </c>
      <c r="X35" s="166">
        <f t="shared" si="10"/>
        <v>6614987.9866939913</v>
      </c>
    </row>
    <row r="36" spans="4:24">
      <c r="D36" s="9" t="s">
        <v>223</v>
      </c>
      <c r="E36" s="9" t="s">
        <v>2718</v>
      </c>
      <c r="F36" s="4" t="s">
        <v>1496</v>
      </c>
      <c r="G36" s="9" t="s">
        <v>3441</v>
      </c>
      <c r="H36" s="164">
        <v>0</v>
      </c>
      <c r="I36" s="165">
        <v>0</v>
      </c>
      <c r="J36" s="165">
        <v>5337.9191897040291</v>
      </c>
      <c r="K36" s="165">
        <v>20322.939962884073</v>
      </c>
      <c r="L36" s="177">
        <f t="shared" si="1"/>
        <v>5337.9191897040291</v>
      </c>
      <c r="M36" s="166">
        <f t="shared" si="2"/>
        <v>20322.939962884073</v>
      </c>
      <c r="N36" s="189">
        <f>INDEX('CHIRP Payment Calc'!AM:AM,MATCH(F36,'CHIRP Payment Calc'!C:C,0))</f>
        <v>1.08</v>
      </c>
      <c r="O36" s="189">
        <f>INDEX('CHIRP Payment Calc'!AL:AL,MATCH(FeeCalc!F36,'CHIRP Payment Calc'!C:C,0))</f>
        <v>1.2</v>
      </c>
      <c r="P36" s="164">
        <f t="shared" si="0"/>
        <v>30152.480680341236</v>
      </c>
      <c r="Q36" s="165">
        <f t="shared" si="3"/>
        <v>0</v>
      </c>
      <c r="R36" s="165">
        <f t="shared" si="4"/>
        <v>1924.6264264047604</v>
      </c>
      <c r="S36" s="165">
        <f t="shared" si="5"/>
        <v>1924.6264264047604</v>
      </c>
      <c r="T36" s="165">
        <f t="shared" si="6"/>
        <v>0</v>
      </c>
      <c r="U36" s="165">
        <f t="shared" si="7"/>
        <v>6132.9284307237785</v>
      </c>
      <c r="V36" s="165">
        <f t="shared" si="8"/>
        <v>0</v>
      </c>
      <c r="W36" s="165">
        <f t="shared" si="9"/>
        <v>25944.178676022224</v>
      </c>
      <c r="X36" s="166">
        <f t="shared" si="10"/>
        <v>32077.107106746003</v>
      </c>
    </row>
    <row r="37" spans="4:24">
      <c r="D37" s="9" t="s">
        <v>223</v>
      </c>
      <c r="E37" s="9" t="s">
        <v>2718</v>
      </c>
      <c r="F37" s="4" t="s">
        <v>972</v>
      </c>
      <c r="G37" s="9" t="s">
        <v>3545</v>
      </c>
      <c r="H37" s="164">
        <v>812643.31084581092</v>
      </c>
      <c r="I37" s="165">
        <v>3001677.7394956094</v>
      </c>
      <c r="J37" s="165">
        <v>527524.26988503709</v>
      </c>
      <c r="K37" s="165">
        <v>5033942.8628752995</v>
      </c>
      <c r="L37" s="177">
        <f t="shared" si="1"/>
        <v>1340167.580730848</v>
      </c>
      <c r="M37" s="166">
        <f t="shared" si="2"/>
        <v>8035620.6023709085</v>
      </c>
      <c r="N37" s="189">
        <f>INDEX('CHIRP Payment Calc'!AM:AM,MATCH(F37,'CHIRP Payment Calc'!C:C,0))</f>
        <v>1.67</v>
      </c>
      <c r="O37" s="189">
        <f>INDEX('CHIRP Payment Calc'!AL:AL,MATCH(FeeCalc!F37,'CHIRP Payment Calc'!C:C,0))</f>
        <v>1.2</v>
      </c>
      <c r="P37" s="164">
        <f t="shared" si="0"/>
        <v>11880824.582665607</v>
      </c>
      <c r="Q37" s="165">
        <f t="shared" si="3"/>
        <v>302546.24716091889</v>
      </c>
      <c r="R37" s="165">
        <f t="shared" si="4"/>
        <v>441810.44464840676</v>
      </c>
      <c r="S37" s="165">
        <f t="shared" si="5"/>
        <v>744356.69180932571</v>
      </c>
      <c r="T37" s="165">
        <f t="shared" si="6"/>
        <v>1439909.1025066357</v>
      </c>
      <c r="U37" s="165">
        <f t="shared" si="7"/>
        <v>937197.37309362984</v>
      </c>
      <c r="V37" s="165">
        <f t="shared" si="8"/>
        <v>3821764.7611615183</v>
      </c>
      <c r="W37" s="165">
        <f t="shared" si="9"/>
        <v>6426310.0377131486</v>
      </c>
      <c r="X37" s="166">
        <f t="shared" si="10"/>
        <v>7363507.4108067788</v>
      </c>
    </row>
    <row r="38" spans="4:24">
      <c r="D38" s="9" t="s">
        <v>223</v>
      </c>
      <c r="E38" s="9" t="s">
        <v>2718</v>
      </c>
      <c r="F38" s="4" t="s">
        <v>35</v>
      </c>
      <c r="G38" s="9" t="s">
        <v>3482</v>
      </c>
      <c r="H38" s="164">
        <v>165602.26031016852</v>
      </c>
      <c r="I38" s="165">
        <v>778898.84984029317</v>
      </c>
      <c r="J38" s="165">
        <v>183193.22301256246</v>
      </c>
      <c r="K38" s="165">
        <v>443231.50264704821</v>
      </c>
      <c r="L38" s="177">
        <f t="shared" si="1"/>
        <v>348795.48332273099</v>
      </c>
      <c r="M38" s="166">
        <f t="shared" si="2"/>
        <v>1222130.3524873415</v>
      </c>
      <c r="N38" s="189">
        <f>INDEX('CHIRP Payment Calc'!AM:AM,MATCH(F38,'CHIRP Payment Calc'!C:C,0))</f>
        <v>6.67</v>
      </c>
      <c r="O38" s="189">
        <f>INDEX('CHIRP Payment Calc'!AL:AL,MATCH(FeeCalc!F38,'CHIRP Payment Calc'!C:C,0))</f>
        <v>3.5199999999999996</v>
      </c>
      <c r="P38" s="164">
        <f t="shared" si="0"/>
        <v>6628364.7145180572</v>
      </c>
      <c r="Q38" s="165">
        <f t="shared" si="3"/>
        <v>234654.35978051217</v>
      </c>
      <c r="R38" s="165">
        <f t="shared" si="4"/>
        <v>177579.1714986001</v>
      </c>
      <c r="S38" s="165">
        <f t="shared" si="5"/>
        <v>412233.53127911227</v>
      </c>
      <c r="T38" s="165">
        <f t="shared" si="6"/>
        <v>1171954.4575796542</v>
      </c>
      <c r="U38" s="165">
        <f t="shared" si="7"/>
        <v>1299892.3377593528</v>
      </c>
      <c r="V38" s="165">
        <f t="shared" si="8"/>
        <v>2908990.9299075138</v>
      </c>
      <c r="W38" s="165">
        <f t="shared" si="9"/>
        <v>1659760.5205506487</v>
      </c>
      <c r="X38" s="166">
        <f t="shared" si="10"/>
        <v>2959652.8583100014</v>
      </c>
    </row>
    <row r="39" spans="4:24">
      <c r="D39" s="9" t="s">
        <v>223</v>
      </c>
      <c r="E39" s="9" t="s">
        <v>2718</v>
      </c>
      <c r="F39" s="4" t="s">
        <v>1416</v>
      </c>
      <c r="G39" s="9" t="s">
        <v>3125</v>
      </c>
      <c r="H39" s="164">
        <v>0</v>
      </c>
      <c r="I39" s="165">
        <v>29966.222887324162</v>
      </c>
      <c r="J39" s="165">
        <v>0</v>
      </c>
      <c r="K39" s="165">
        <v>236265.3363930753</v>
      </c>
      <c r="L39" s="177">
        <f t="shared" si="1"/>
        <v>0</v>
      </c>
      <c r="M39" s="166">
        <f t="shared" si="2"/>
        <v>266231.55928039947</v>
      </c>
      <c r="N39" s="189">
        <f>INDEX('CHIRP Payment Calc'!AM:AM,MATCH(F39,'CHIRP Payment Calc'!C:C,0))</f>
        <v>1.08</v>
      </c>
      <c r="O39" s="189">
        <f>INDEX('CHIRP Payment Calc'!AL:AL,MATCH(FeeCalc!F39,'CHIRP Payment Calc'!C:C,0))</f>
        <v>1.2</v>
      </c>
      <c r="P39" s="164">
        <f t="shared" si="0"/>
        <v>319477.87113647937</v>
      </c>
      <c r="Q39" s="165">
        <f t="shared" si="3"/>
        <v>2193.8136649606017</v>
      </c>
      <c r="R39" s="165">
        <f t="shared" si="4"/>
        <v>18096.919383299384</v>
      </c>
      <c r="S39" s="165">
        <f t="shared" si="5"/>
        <v>20290.733048259986</v>
      </c>
      <c r="T39" s="165">
        <f t="shared" si="6"/>
        <v>0</v>
      </c>
      <c r="U39" s="165">
        <f t="shared" si="7"/>
        <v>0</v>
      </c>
      <c r="V39" s="165">
        <f t="shared" si="8"/>
        <v>38153.281129749594</v>
      </c>
      <c r="W39" s="165">
        <f t="shared" si="9"/>
        <v>301615.32305498974</v>
      </c>
      <c r="X39" s="166">
        <f t="shared" si="10"/>
        <v>301615.32305498974</v>
      </c>
    </row>
    <row r="40" spans="4:24">
      <c r="D40" s="9" t="s">
        <v>223</v>
      </c>
      <c r="E40" s="9" t="s">
        <v>2718</v>
      </c>
      <c r="F40" s="4" t="s">
        <v>784</v>
      </c>
      <c r="G40" s="9" t="s">
        <v>3089</v>
      </c>
      <c r="H40" s="164">
        <v>1493551.2272600809</v>
      </c>
      <c r="I40" s="165">
        <v>2595612.3954967172</v>
      </c>
      <c r="J40" s="165">
        <v>484221.69301876926</v>
      </c>
      <c r="K40" s="165">
        <v>1441710.964530787</v>
      </c>
      <c r="L40" s="177">
        <f t="shared" si="1"/>
        <v>1977772.92027885</v>
      </c>
      <c r="M40" s="166">
        <f t="shared" si="2"/>
        <v>4037323.3600275042</v>
      </c>
      <c r="N40" s="189">
        <f>INDEX('CHIRP Payment Calc'!AM:AM,MATCH(F40,'CHIRP Payment Calc'!C:C,0))</f>
        <v>2.96</v>
      </c>
      <c r="O40" s="189">
        <f>INDEX('CHIRP Payment Calc'!AL:AL,MATCH(FeeCalc!F40,'CHIRP Payment Calc'!C:C,0))</f>
        <v>1.63</v>
      </c>
      <c r="P40" s="164">
        <f t="shared" si="0"/>
        <v>12435044.920870226</v>
      </c>
      <c r="Q40" s="165">
        <f t="shared" si="3"/>
        <v>527826.19697357609</v>
      </c>
      <c r="R40" s="165">
        <f t="shared" si="4"/>
        <v>241486.28192685577</v>
      </c>
      <c r="S40" s="165">
        <f t="shared" si="5"/>
        <v>769312.47890043189</v>
      </c>
      <c r="T40" s="165">
        <f t="shared" si="6"/>
        <v>4690622.4219520837</v>
      </c>
      <c r="U40" s="165">
        <f t="shared" si="7"/>
        <v>1524783.2035484649</v>
      </c>
      <c r="V40" s="165">
        <f t="shared" si="8"/>
        <v>4488963.61237098</v>
      </c>
      <c r="W40" s="165">
        <f t="shared" si="9"/>
        <v>2499988.1618991308</v>
      </c>
      <c r="X40" s="166">
        <f t="shared" si="10"/>
        <v>4024771.3654475957</v>
      </c>
    </row>
    <row r="41" spans="4:24">
      <c r="D41" s="9" t="s">
        <v>223</v>
      </c>
      <c r="E41" s="9" t="s">
        <v>2718</v>
      </c>
      <c r="F41" s="4" t="s">
        <v>519</v>
      </c>
      <c r="G41" s="9" t="s">
        <v>3000</v>
      </c>
      <c r="H41" s="164">
        <v>707014.11349833559</v>
      </c>
      <c r="I41" s="165">
        <v>889461.02995059022</v>
      </c>
      <c r="J41" s="165">
        <v>683613.68741234916</v>
      </c>
      <c r="K41" s="165">
        <v>1026545.8606857116</v>
      </c>
      <c r="L41" s="177">
        <f t="shared" si="1"/>
        <v>1390627.8009106847</v>
      </c>
      <c r="M41" s="166">
        <f t="shared" si="2"/>
        <v>1916006.8906363018</v>
      </c>
      <c r="N41" s="189">
        <f>INDEX('CHIRP Payment Calc'!AM:AM,MATCH(F41,'CHIRP Payment Calc'!C:C,0))</f>
        <v>3.31</v>
      </c>
      <c r="O41" s="189">
        <f>INDEX('CHIRP Payment Calc'!AL:AL,MATCH(FeeCalc!F41,'CHIRP Payment Calc'!C:C,0))</f>
        <v>2.62</v>
      </c>
      <c r="P41" s="164">
        <f t="shared" si="0"/>
        <v>9622916.0744814761</v>
      </c>
      <c r="Q41" s="165">
        <f t="shared" si="3"/>
        <v>284944.048078119</v>
      </c>
      <c r="R41" s="165">
        <f t="shared" si="4"/>
        <v>316104.98682966648</v>
      </c>
      <c r="S41" s="165">
        <f t="shared" si="5"/>
        <v>601049.03490778548</v>
      </c>
      <c r="T41" s="165">
        <f t="shared" si="6"/>
        <v>2482988.5577501226</v>
      </c>
      <c r="U41" s="165">
        <f t="shared" si="7"/>
        <v>2407192.8780158255</v>
      </c>
      <c r="V41" s="165">
        <f t="shared" si="8"/>
        <v>2472560.1044780333</v>
      </c>
      <c r="W41" s="165">
        <f t="shared" si="9"/>
        <v>2861223.5691452818</v>
      </c>
      <c r="X41" s="166">
        <f t="shared" si="10"/>
        <v>5268416.4471611073</v>
      </c>
    </row>
    <row r="42" spans="4:24">
      <c r="D42" s="9" t="s">
        <v>223</v>
      </c>
      <c r="E42" s="9" t="s">
        <v>2718</v>
      </c>
      <c r="F42" s="4" t="s">
        <v>875</v>
      </c>
      <c r="G42" s="9" t="s">
        <v>3347</v>
      </c>
      <c r="H42" s="164">
        <v>1795165.6028602014</v>
      </c>
      <c r="I42" s="165">
        <v>2796861.8936819276</v>
      </c>
      <c r="J42" s="165">
        <v>1699510.048388144</v>
      </c>
      <c r="K42" s="165">
        <v>5812614.5852724025</v>
      </c>
      <c r="L42" s="177">
        <f t="shared" si="1"/>
        <v>3494675.6512483452</v>
      </c>
      <c r="M42" s="166">
        <f t="shared" si="2"/>
        <v>8609476.4789543301</v>
      </c>
      <c r="N42" s="189">
        <f>INDEX('CHIRP Payment Calc'!AM:AM,MATCH(F42,'CHIRP Payment Calc'!C:C,0))</f>
        <v>2.25</v>
      </c>
      <c r="O42" s="189">
        <f>INDEX('CHIRP Payment Calc'!AL:AL,MATCH(FeeCalc!F42,'CHIRP Payment Calc'!C:C,0))</f>
        <v>2.5700000000000003</v>
      </c>
      <c r="P42" s="164">
        <f t="shared" si="0"/>
        <v>29989374.766221404</v>
      </c>
      <c r="Q42" s="165">
        <f t="shared" si="3"/>
        <v>684939.85804656288</v>
      </c>
      <c r="R42" s="165">
        <f t="shared" si="4"/>
        <v>1197594.7080653235</v>
      </c>
      <c r="S42" s="165">
        <f t="shared" si="5"/>
        <v>1882534.5661118864</v>
      </c>
      <c r="T42" s="165">
        <f t="shared" si="6"/>
        <v>4285541.2269872185</v>
      </c>
      <c r="U42" s="165">
        <f t="shared" si="7"/>
        <v>4067976.1796524725</v>
      </c>
      <c r="V42" s="165">
        <f t="shared" si="8"/>
        <v>7626456.3042573528</v>
      </c>
      <c r="W42" s="165">
        <f t="shared" si="9"/>
        <v>15891935.621436253</v>
      </c>
      <c r="X42" s="166">
        <f t="shared" si="10"/>
        <v>19959911.801088724</v>
      </c>
    </row>
    <row r="43" spans="4:24">
      <c r="D43" s="9" t="s">
        <v>223</v>
      </c>
      <c r="E43" s="9" t="s">
        <v>2718</v>
      </c>
      <c r="F43" s="4" t="s">
        <v>969</v>
      </c>
      <c r="G43" s="9" t="s">
        <v>3475</v>
      </c>
      <c r="H43" s="164">
        <v>51774.386482647933</v>
      </c>
      <c r="I43" s="165">
        <v>0</v>
      </c>
      <c r="J43" s="165">
        <v>4908.0612671062418</v>
      </c>
      <c r="K43" s="165">
        <v>0</v>
      </c>
      <c r="L43" s="177">
        <f t="shared" si="1"/>
        <v>56682.447749754174</v>
      </c>
      <c r="M43" s="166">
        <f t="shared" si="2"/>
        <v>0</v>
      </c>
      <c r="N43" s="189">
        <f>INDEX('CHIRP Payment Calc'!AM:AM,MATCH(F43,'CHIRP Payment Calc'!C:C,0))</f>
        <v>2.14</v>
      </c>
      <c r="O43" s="189">
        <f>INDEX('CHIRP Payment Calc'!AL:AL,MATCH(FeeCalc!F43,'CHIRP Payment Calc'!C:C,0))</f>
        <v>1.2</v>
      </c>
      <c r="P43" s="164">
        <f t="shared" si="0"/>
        <v>121300.43818447394</v>
      </c>
      <c r="Q43" s="165">
        <f t="shared" si="3"/>
        <v>6759.5100866735584</v>
      </c>
      <c r="R43" s="165">
        <f t="shared" si="4"/>
        <v>670.42028371961874</v>
      </c>
      <c r="S43" s="165">
        <f t="shared" si="5"/>
        <v>7429.9303703931773</v>
      </c>
      <c r="T43" s="165">
        <f t="shared" si="6"/>
        <v>117556.69715954014</v>
      </c>
      <c r="U43" s="165">
        <f t="shared" si="7"/>
        <v>11173.671395326977</v>
      </c>
      <c r="V43" s="165">
        <f t="shared" si="8"/>
        <v>0</v>
      </c>
      <c r="W43" s="165">
        <f t="shared" si="9"/>
        <v>0</v>
      </c>
      <c r="X43" s="166">
        <f t="shared" si="10"/>
        <v>11173.671395326977</v>
      </c>
    </row>
    <row r="44" spans="4:24">
      <c r="D44" s="9" t="s">
        <v>223</v>
      </c>
      <c r="E44" s="9" t="s">
        <v>2718</v>
      </c>
      <c r="F44" s="4" t="s">
        <v>1114</v>
      </c>
      <c r="G44" s="9" t="s">
        <v>3464</v>
      </c>
      <c r="H44" s="164">
        <v>1211220.8009699387</v>
      </c>
      <c r="I44" s="165">
        <v>7295680.9890459226</v>
      </c>
      <c r="J44" s="165">
        <v>1548810.0763925726</v>
      </c>
      <c r="K44" s="165">
        <v>5321674.0230425457</v>
      </c>
      <c r="L44" s="177">
        <f t="shared" si="1"/>
        <v>2760030.8773625111</v>
      </c>
      <c r="M44" s="166">
        <f t="shared" si="2"/>
        <v>12617355.012088468</v>
      </c>
      <c r="N44" s="189">
        <f>INDEX('CHIRP Payment Calc'!AM:AM,MATCH(F44,'CHIRP Payment Calc'!C:C,0))</f>
        <v>2.3200000000000003</v>
      </c>
      <c r="O44" s="189">
        <f>INDEX('CHIRP Payment Calc'!AL:AL,MATCH(FeeCalc!F44,'CHIRP Payment Calc'!C:C,0))</f>
        <v>2.69</v>
      </c>
      <c r="P44" s="164">
        <f t="shared" si="0"/>
        <v>40343956.61799901</v>
      </c>
      <c r="Q44" s="165">
        <f t="shared" si="3"/>
        <v>1368738.7923926448</v>
      </c>
      <c r="R44" s="165">
        <f t="shared" si="4"/>
        <v>1143098.4573967161</v>
      </c>
      <c r="S44" s="165">
        <f t="shared" si="5"/>
        <v>2511837.2497893609</v>
      </c>
      <c r="T44" s="165">
        <f t="shared" si="6"/>
        <v>2981466.5870029265</v>
      </c>
      <c r="U44" s="165">
        <f t="shared" si="7"/>
        <v>3822595.0821603923</v>
      </c>
      <c r="V44" s="165">
        <f t="shared" si="8"/>
        <v>20822686.324173506</v>
      </c>
      <c r="W44" s="165">
        <f t="shared" si="9"/>
        <v>15229045.874451542</v>
      </c>
      <c r="X44" s="166">
        <f t="shared" si="10"/>
        <v>19051640.956611935</v>
      </c>
    </row>
    <row r="45" spans="4:24">
      <c r="D45" s="9" t="s">
        <v>223</v>
      </c>
      <c r="E45" s="9" t="s">
        <v>2718</v>
      </c>
      <c r="F45" s="4" t="s">
        <v>606</v>
      </c>
      <c r="G45" s="9" t="s">
        <v>2967</v>
      </c>
      <c r="H45" s="164">
        <v>1222326.3093115715</v>
      </c>
      <c r="I45" s="165">
        <v>3710961.5735010416</v>
      </c>
      <c r="J45" s="165">
        <v>276726.40407143527</v>
      </c>
      <c r="K45" s="165">
        <v>2206388.9015406836</v>
      </c>
      <c r="L45" s="177">
        <f t="shared" si="1"/>
        <v>1499052.7133830069</v>
      </c>
      <c r="M45" s="166">
        <f t="shared" si="2"/>
        <v>5917350.4750417247</v>
      </c>
      <c r="N45" s="189">
        <f>INDEX('CHIRP Payment Calc'!AM:AM,MATCH(F45,'CHIRP Payment Calc'!C:C,0))</f>
        <v>2.5300000000000002</v>
      </c>
      <c r="O45" s="189">
        <f>INDEX('CHIRP Payment Calc'!AL:AL,MATCH(FeeCalc!F45,'CHIRP Payment Calc'!C:C,0))</f>
        <v>2.29</v>
      </c>
      <c r="P45" s="164">
        <f t="shared" si="0"/>
        <v>17343335.952704556</v>
      </c>
      <c r="Q45" s="165">
        <f t="shared" si="3"/>
        <v>707118.07431071694</v>
      </c>
      <c r="R45" s="165">
        <f t="shared" si="4"/>
        <v>367196.70554227009</v>
      </c>
      <c r="S45" s="165">
        <f t="shared" si="5"/>
        <v>1074314.779852987</v>
      </c>
      <c r="T45" s="165">
        <f t="shared" si="6"/>
        <v>3281151.7905127602</v>
      </c>
      <c r="U45" s="165">
        <f t="shared" si="7"/>
        <v>744806.17266035255</v>
      </c>
      <c r="V45" s="165">
        <f t="shared" si="8"/>
        <v>9016553.8496736195</v>
      </c>
      <c r="W45" s="165">
        <f t="shared" si="9"/>
        <v>5375138.919710815</v>
      </c>
      <c r="X45" s="166">
        <f t="shared" si="10"/>
        <v>6119945.0923711676</v>
      </c>
    </row>
    <row r="46" spans="4:24">
      <c r="D46" s="9" t="s">
        <v>223</v>
      </c>
      <c r="E46" s="9" t="s">
        <v>2718</v>
      </c>
      <c r="F46" s="4" t="s">
        <v>525</v>
      </c>
      <c r="G46" s="9" t="s">
        <v>2868</v>
      </c>
      <c r="H46" s="164">
        <v>1672910.6438767461</v>
      </c>
      <c r="I46" s="165">
        <v>10768104.618604906</v>
      </c>
      <c r="J46" s="165">
        <v>2631366.0865083351</v>
      </c>
      <c r="K46" s="165">
        <v>22267507.680361044</v>
      </c>
      <c r="L46" s="177">
        <f t="shared" si="1"/>
        <v>4304276.7303850809</v>
      </c>
      <c r="M46" s="166">
        <f t="shared" si="2"/>
        <v>33035612.29896595</v>
      </c>
      <c r="N46" s="189">
        <f>INDEX('CHIRP Payment Calc'!AM:AM,MATCH(F46,'CHIRP Payment Calc'!C:C,0))</f>
        <v>2.2000000000000002</v>
      </c>
      <c r="O46" s="189">
        <f>INDEX('CHIRP Payment Calc'!AL:AL,MATCH(FeeCalc!F46,'CHIRP Payment Calc'!C:C,0))</f>
        <v>1.5</v>
      </c>
      <c r="P46" s="164">
        <f t="shared" si="0"/>
        <v>59022827.255296104</v>
      </c>
      <c r="Q46" s="165">
        <f t="shared" si="3"/>
        <v>1209943.99979319</v>
      </c>
      <c r="R46" s="165">
        <f t="shared" si="4"/>
        <v>2501506.3985655261</v>
      </c>
      <c r="S46" s="165">
        <f t="shared" si="5"/>
        <v>3711450.3983587162</v>
      </c>
      <c r="T46" s="165">
        <f t="shared" si="6"/>
        <v>3904937.3119669403</v>
      </c>
      <c r="U46" s="165">
        <f t="shared" si="7"/>
        <v>6158516.3726790827</v>
      </c>
      <c r="V46" s="165">
        <f t="shared" si="8"/>
        <v>17137567.032262452</v>
      </c>
      <c r="W46" s="165">
        <f t="shared" si="9"/>
        <v>35533256.936746344</v>
      </c>
      <c r="X46" s="166">
        <f t="shared" si="10"/>
        <v>41691773.309425429</v>
      </c>
    </row>
    <row r="47" spans="4:24">
      <c r="D47" s="9" t="s">
        <v>223</v>
      </c>
      <c r="E47" s="9" t="s">
        <v>2718</v>
      </c>
      <c r="F47" s="4" t="s">
        <v>1120</v>
      </c>
      <c r="G47" s="9" t="s">
        <v>3465</v>
      </c>
      <c r="H47" s="164">
        <v>847154.99086471379</v>
      </c>
      <c r="I47" s="165">
        <v>48693.347082191416</v>
      </c>
      <c r="J47" s="165">
        <v>490141.48414080782</v>
      </c>
      <c r="K47" s="165">
        <v>265724.98081350897</v>
      </c>
      <c r="L47" s="177">
        <f t="shared" si="1"/>
        <v>1337296.4750055217</v>
      </c>
      <c r="M47" s="166">
        <f t="shared" si="2"/>
        <v>314418.32789570041</v>
      </c>
      <c r="N47" s="189">
        <f>INDEX('CHIRP Payment Calc'!AM:AM,MATCH(F47,'CHIRP Payment Calc'!C:C,0))</f>
        <v>1.9</v>
      </c>
      <c r="O47" s="189">
        <f>INDEX('CHIRP Payment Calc'!AL:AL,MATCH(FeeCalc!F47,'CHIRP Payment Calc'!C:C,0))</f>
        <v>2.88</v>
      </c>
      <c r="P47" s="164">
        <f t="shared" si="0"/>
        <v>3446388.0868501081</v>
      </c>
      <c r="Q47" s="165">
        <f t="shared" si="3"/>
        <v>106753.63504379934</v>
      </c>
      <c r="R47" s="165">
        <f t="shared" si="4"/>
        <v>108290.85731556006</v>
      </c>
      <c r="S47" s="165">
        <f t="shared" si="5"/>
        <v>215044.4923593594</v>
      </c>
      <c r="T47" s="165">
        <f t="shared" si="6"/>
        <v>1707792.5545283353</v>
      </c>
      <c r="U47" s="165">
        <f t="shared" si="7"/>
        <v>990711.5104973776</v>
      </c>
      <c r="V47" s="165">
        <f t="shared" si="8"/>
        <v>148792.40275513133</v>
      </c>
      <c r="W47" s="165">
        <f t="shared" si="9"/>
        <v>814136.11142862332</v>
      </c>
      <c r="X47" s="166">
        <f t="shared" si="10"/>
        <v>1804847.6219260008</v>
      </c>
    </row>
    <row r="48" spans="4:24">
      <c r="D48" s="9" t="s">
        <v>223</v>
      </c>
      <c r="E48" s="9" t="s">
        <v>2718</v>
      </c>
      <c r="F48" s="4" t="s">
        <v>3077</v>
      </c>
      <c r="G48" s="9" t="s">
        <v>3078</v>
      </c>
      <c r="H48" s="164">
        <v>682835.98381884291</v>
      </c>
      <c r="I48" s="165">
        <v>83070.968317906707</v>
      </c>
      <c r="J48" s="165">
        <v>138143.27269232232</v>
      </c>
      <c r="K48" s="165">
        <v>247164.23187599183</v>
      </c>
      <c r="L48" s="177">
        <f t="shared" si="1"/>
        <v>820979.25651116529</v>
      </c>
      <c r="M48" s="166">
        <f t="shared" si="2"/>
        <v>330235.20019389852</v>
      </c>
      <c r="N48" s="189">
        <f>INDEX('CHIRP Payment Calc'!AM:AM,MATCH(F48,'CHIRP Payment Calc'!C:C,0))</f>
        <v>1.08</v>
      </c>
      <c r="O48" s="189">
        <f>INDEX('CHIRP Payment Calc'!AL:AL,MATCH(FeeCalc!F48,'CHIRP Payment Calc'!C:C,0))</f>
        <v>1.2</v>
      </c>
      <c r="P48" s="164">
        <f t="shared" si="0"/>
        <v>1282939.8372647369</v>
      </c>
      <c r="Q48" s="165">
        <f t="shared" si="3"/>
        <v>51072.691150223574</v>
      </c>
      <c r="R48" s="165">
        <f t="shared" si="4"/>
        <v>28454.796559078615</v>
      </c>
      <c r="S48" s="165">
        <f t="shared" si="5"/>
        <v>79527.487709302193</v>
      </c>
      <c r="T48" s="165">
        <f t="shared" si="6"/>
        <v>782453.96554307744</v>
      </c>
      <c r="U48" s="165">
        <f t="shared" si="7"/>
        <v>158717.80266777458</v>
      </c>
      <c r="V48" s="165">
        <f t="shared" si="8"/>
        <v>105766.75011298466</v>
      </c>
      <c r="W48" s="165">
        <f t="shared" si="9"/>
        <v>315528.80665020231</v>
      </c>
      <c r="X48" s="166">
        <f t="shared" si="10"/>
        <v>474246.60931797686</v>
      </c>
    </row>
    <row r="49" spans="4:24">
      <c r="D49" s="9" t="s">
        <v>223</v>
      </c>
      <c r="E49" s="9" t="s">
        <v>2718</v>
      </c>
      <c r="F49" s="4" t="s">
        <v>881</v>
      </c>
      <c r="G49" s="9" t="s">
        <v>3348</v>
      </c>
      <c r="H49" s="164">
        <v>1971891.5964723239</v>
      </c>
      <c r="I49" s="165">
        <v>8212215.6945082732</v>
      </c>
      <c r="J49" s="165">
        <v>2085507.0761300726</v>
      </c>
      <c r="K49" s="165">
        <v>7398622.4384343168</v>
      </c>
      <c r="L49" s="177">
        <f t="shared" si="1"/>
        <v>4057398.6726023965</v>
      </c>
      <c r="M49" s="166">
        <f t="shared" si="2"/>
        <v>15610838.132942591</v>
      </c>
      <c r="N49" s="189">
        <f>INDEX('CHIRP Payment Calc'!AM:AM,MATCH(F49,'CHIRP Payment Calc'!C:C,0))</f>
        <v>2.58</v>
      </c>
      <c r="O49" s="189">
        <f>INDEX('CHIRP Payment Calc'!AL:AL,MATCH(FeeCalc!F49,'CHIRP Payment Calc'!C:C,0))</f>
        <v>2.31</v>
      </c>
      <c r="P49" s="164">
        <f t="shared" si="0"/>
        <v>46529124.662411571</v>
      </c>
      <c r="Q49" s="165">
        <f t="shared" si="3"/>
        <v>1467711.0535381758</v>
      </c>
      <c r="R49" s="165">
        <f t="shared" si="4"/>
        <v>1434346.3461190762</v>
      </c>
      <c r="S49" s="165">
        <f t="shared" si="5"/>
        <v>2902057.3996572522</v>
      </c>
      <c r="T49" s="165">
        <f t="shared" si="6"/>
        <v>5397857.1022796771</v>
      </c>
      <c r="U49" s="165">
        <f t="shared" si="7"/>
        <v>5724051.336612328</v>
      </c>
      <c r="V49" s="165">
        <f t="shared" si="8"/>
        <v>20127552.524471205</v>
      </c>
      <c r="W49" s="165">
        <f t="shared" si="9"/>
        <v>18181721.098705608</v>
      </c>
      <c r="X49" s="166">
        <f t="shared" si="10"/>
        <v>23905772.435317937</v>
      </c>
    </row>
    <row r="50" spans="4:24">
      <c r="D50" s="9" t="s">
        <v>223</v>
      </c>
      <c r="E50" s="9" t="s">
        <v>2718</v>
      </c>
      <c r="F50" s="4" t="s">
        <v>429</v>
      </c>
      <c r="G50" s="9" t="s">
        <v>3467</v>
      </c>
      <c r="H50" s="164">
        <v>401078.61621322582</v>
      </c>
      <c r="I50" s="165">
        <v>760663.25280623045</v>
      </c>
      <c r="J50" s="165">
        <v>257036.59126259587</v>
      </c>
      <c r="K50" s="165">
        <v>285223.01386396924</v>
      </c>
      <c r="L50" s="177">
        <f t="shared" si="1"/>
        <v>658115.20747582172</v>
      </c>
      <c r="M50" s="166">
        <f t="shared" si="2"/>
        <v>1045886.2666701997</v>
      </c>
      <c r="N50" s="189">
        <f>INDEX('CHIRP Payment Calc'!AM:AM,MATCH(F50,'CHIRP Payment Calc'!C:C,0))</f>
        <v>2.63</v>
      </c>
      <c r="O50" s="189">
        <f>INDEX('CHIRP Payment Calc'!AL:AL,MATCH(FeeCalc!F50,'CHIRP Payment Calc'!C:C,0))</f>
        <v>2.52</v>
      </c>
      <c r="P50" s="164">
        <f t="shared" si="0"/>
        <v>4366476.3876703139</v>
      </c>
      <c r="Q50" s="165">
        <f t="shared" si="3"/>
        <v>181297.84516548313</v>
      </c>
      <c r="R50" s="165">
        <f t="shared" si="4"/>
        <v>89027.759359010422</v>
      </c>
      <c r="S50" s="165">
        <f t="shared" si="5"/>
        <v>270325.60452449357</v>
      </c>
      <c r="T50" s="165">
        <f t="shared" si="6"/>
        <v>1119190.1969663489</v>
      </c>
      <c r="U50" s="165">
        <f t="shared" si="7"/>
        <v>719155.5691708799</v>
      </c>
      <c r="V50" s="165">
        <f t="shared" si="8"/>
        <v>2033815.8059116188</v>
      </c>
      <c r="W50" s="165">
        <f t="shared" si="9"/>
        <v>764640.42014596018</v>
      </c>
      <c r="X50" s="166">
        <f t="shared" si="10"/>
        <v>1483795.9893168402</v>
      </c>
    </row>
    <row r="51" spans="4:24">
      <c r="D51" s="9" t="s">
        <v>223</v>
      </c>
      <c r="E51" s="9" t="s">
        <v>2718</v>
      </c>
      <c r="F51" s="4" t="s">
        <v>763</v>
      </c>
      <c r="G51" s="9" t="s">
        <v>2999</v>
      </c>
      <c r="H51" s="164">
        <v>5034940.3993395818</v>
      </c>
      <c r="I51" s="165">
        <v>3617382.573341921</v>
      </c>
      <c r="J51" s="165">
        <v>1054203.7588340356</v>
      </c>
      <c r="K51" s="165">
        <v>1808907.8231211812</v>
      </c>
      <c r="L51" s="177">
        <f t="shared" si="1"/>
        <v>6089144.158173617</v>
      </c>
      <c r="M51" s="166">
        <f t="shared" si="2"/>
        <v>5426290.3964631017</v>
      </c>
      <c r="N51" s="189">
        <f>INDEX('CHIRP Payment Calc'!AM:AM,MATCH(F51,'CHIRP Payment Calc'!C:C,0))</f>
        <v>1.08</v>
      </c>
      <c r="O51" s="189">
        <f>INDEX('CHIRP Payment Calc'!AL:AL,MATCH(FeeCalc!F51,'CHIRP Payment Calc'!C:C,0))</f>
        <v>1.2</v>
      </c>
      <c r="P51" s="164">
        <f t="shared" si="0"/>
        <v>13087824.166583229</v>
      </c>
      <c r="Q51" s="165">
        <f t="shared" si="3"/>
        <v>596572.09162820224</v>
      </c>
      <c r="R51" s="165">
        <f t="shared" si="4"/>
        <v>211227.41152890486</v>
      </c>
      <c r="S51" s="165">
        <f t="shared" si="5"/>
        <v>807799.50315710716</v>
      </c>
      <c r="T51" s="165">
        <f t="shared" si="6"/>
        <v>5769480.7759010596</v>
      </c>
      <c r="U51" s="165">
        <f t="shared" si="7"/>
        <v>1211212.8292986793</v>
      </c>
      <c r="V51" s="165">
        <f t="shared" si="8"/>
        <v>4605686.0350241959</v>
      </c>
      <c r="W51" s="165">
        <f t="shared" si="9"/>
        <v>2309244.0295164017</v>
      </c>
      <c r="X51" s="166">
        <f t="shared" si="10"/>
        <v>3520456.858815081</v>
      </c>
    </row>
    <row r="52" spans="4:24">
      <c r="D52" s="9" t="s">
        <v>223</v>
      </c>
      <c r="E52" s="9" t="s">
        <v>2718</v>
      </c>
      <c r="F52" s="4" t="s">
        <v>26</v>
      </c>
      <c r="G52" s="9" t="s">
        <v>3480</v>
      </c>
      <c r="H52" s="164">
        <v>0</v>
      </c>
      <c r="I52" s="165">
        <v>0</v>
      </c>
      <c r="J52" s="165">
        <v>12679.988400790286</v>
      </c>
      <c r="K52" s="165">
        <v>114657.90996363084</v>
      </c>
      <c r="L52" s="177">
        <f t="shared" si="1"/>
        <v>12679.988400790286</v>
      </c>
      <c r="M52" s="166">
        <f t="shared" si="2"/>
        <v>114657.90996363084</v>
      </c>
      <c r="N52" s="189">
        <f>INDEX('CHIRP Payment Calc'!AM:AM,MATCH(F52,'CHIRP Payment Calc'!C:C,0))</f>
        <v>43.86</v>
      </c>
      <c r="O52" s="189">
        <f>INDEX('CHIRP Payment Calc'!AL:AL,MATCH(FeeCalc!F52,'CHIRP Payment Calc'!C:C,0))</f>
        <v>11.11</v>
      </c>
      <c r="P52" s="164">
        <f t="shared" si="0"/>
        <v>1829993.6709546004</v>
      </c>
      <c r="Q52" s="165">
        <f t="shared" si="3"/>
        <v>0</v>
      </c>
      <c r="R52" s="165">
        <f t="shared" si="4"/>
        <v>116808.10665667664</v>
      </c>
      <c r="S52" s="165">
        <f t="shared" si="5"/>
        <v>116808.10665667664</v>
      </c>
      <c r="T52" s="165">
        <f t="shared" si="6"/>
        <v>0</v>
      </c>
      <c r="U52" s="165">
        <f t="shared" si="7"/>
        <v>591642.86304112978</v>
      </c>
      <c r="V52" s="165">
        <f t="shared" si="8"/>
        <v>0</v>
      </c>
      <c r="W52" s="165">
        <f t="shared" si="9"/>
        <v>1355158.9145701474</v>
      </c>
      <c r="X52" s="166">
        <f t="shared" si="10"/>
        <v>1946801.7776112771</v>
      </c>
    </row>
    <row r="53" spans="4:24">
      <c r="D53" s="9" t="s">
        <v>223</v>
      </c>
      <c r="E53" s="9" t="s">
        <v>2718</v>
      </c>
      <c r="F53" s="4" t="s">
        <v>366</v>
      </c>
      <c r="G53" s="9" t="s">
        <v>3471</v>
      </c>
      <c r="H53" s="164">
        <v>481572.70388846117</v>
      </c>
      <c r="I53" s="165">
        <v>252681.43946711885</v>
      </c>
      <c r="J53" s="165">
        <v>291661.73873963993</v>
      </c>
      <c r="K53" s="165">
        <v>288827.27328526234</v>
      </c>
      <c r="L53" s="177">
        <f t="shared" si="1"/>
        <v>773234.4426281011</v>
      </c>
      <c r="M53" s="166">
        <f t="shared" si="2"/>
        <v>541508.71275238122</v>
      </c>
      <c r="N53" s="189">
        <f>INDEX('CHIRP Payment Calc'!AM:AM,MATCH(F53,'CHIRP Payment Calc'!C:C,0))</f>
        <v>1.7600000000000002</v>
      </c>
      <c r="O53" s="189">
        <f>INDEX('CHIRP Payment Calc'!AL:AL,MATCH(FeeCalc!F53,'CHIRP Payment Calc'!C:C,0))</f>
        <v>3.6900000000000004</v>
      </c>
      <c r="P53" s="164">
        <f t="shared" si="0"/>
        <v>3359059.7690817453</v>
      </c>
      <c r="Q53" s="165">
        <f t="shared" si="3"/>
        <v>108591.87485670899</v>
      </c>
      <c r="R53" s="165">
        <f t="shared" si="4"/>
        <v>100793.44459176924</v>
      </c>
      <c r="S53" s="165">
        <f t="shared" si="5"/>
        <v>209385.31944847823</v>
      </c>
      <c r="T53" s="165">
        <f t="shared" si="6"/>
        <v>899276.34890577372</v>
      </c>
      <c r="U53" s="165">
        <f t="shared" si="7"/>
        <v>546090.06402315572</v>
      </c>
      <c r="V53" s="165">
        <f t="shared" si="8"/>
        <v>989277.99642829574</v>
      </c>
      <c r="W53" s="165">
        <f t="shared" si="9"/>
        <v>1133800.6791729981</v>
      </c>
      <c r="X53" s="166">
        <f t="shared" si="10"/>
        <v>1679890.7431961538</v>
      </c>
    </row>
    <row r="54" spans="4:24">
      <c r="D54" s="9" t="s">
        <v>223</v>
      </c>
      <c r="E54" s="9" t="s">
        <v>2718</v>
      </c>
      <c r="F54" s="4" t="s">
        <v>522</v>
      </c>
      <c r="G54" s="9" t="s">
        <v>3483</v>
      </c>
      <c r="H54" s="164">
        <v>0</v>
      </c>
      <c r="I54" s="165">
        <v>0</v>
      </c>
      <c r="J54" s="165">
        <v>110202.9805558479</v>
      </c>
      <c r="K54" s="165">
        <v>780526.25648519513</v>
      </c>
      <c r="L54" s="177">
        <f t="shared" si="1"/>
        <v>110202.9805558479</v>
      </c>
      <c r="M54" s="166">
        <f t="shared" si="2"/>
        <v>780526.25648519513</v>
      </c>
      <c r="N54" s="189">
        <f>INDEX('CHIRP Payment Calc'!AM:AM,MATCH(F54,'CHIRP Payment Calc'!C:C,0))</f>
        <v>7.51</v>
      </c>
      <c r="O54" s="189">
        <f>INDEX('CHIRP Payment Calc'!AL:AL,MATCH(FeeCalc!F54,'CHIRP Payment Calc'!C:C,0))</f>
        <v>1.3399999999999999</v>
      </c>
      <c r="P54" s="164">
        <f t="shared" si="0"/>
        <v>1873529.567664579</v>
      </c>
      <c r="Q54" s="165">
        <f t="shared" si="3"/>
        <v>0</v>
      </c>
      <c r="R54" s="165">
        <f t="shared" si="4"/>
        <v>119586.99368071783</v>
      </c>
      <c r="S54" s="165">
        <f t="shared" si="5"/>
        <v>119586.99368071783</v>
      </c>
      <c r="T54" s="165">
        <f t="shared" si="6"/>
        <v>0</v>
      </c>
      <c r="U54" s="165">
        <f t="shared" si="7"/>
        <v>880451.47231321037</v>
      </c>
      <c r="V54" s="165">
        <f t="shared" si="8"/>
        <v>0</v>
      </c>
      <c r="W54" s="165">
        <f t="shared" si="9"/>
        <v>1112665.0890320865</v>
      </c>
      <c r="X54" s="166">
        <f t="shared" si="10"/>
        <v>1993116.5613452969</v>
      </c>
    </row>
    <row r="55" spans="4:24">
      <c r="D55" s="9" t="s">
        <v>223</v>
      </c>
      <c r="E55" s="9" t="s">
        <v>2718</v>
      </c>
      <c r="F55" s="4" t="s">
        <v>109</v>
      </c>
      <c r="G55" s="9" t="s">
        <v>2960</v>
      </c>
      <c r="H55" s="164">
        <v>5094819.6949811839</v>
      </c>
      <c r="I55" s="165">
        <v>35903971.05196891</v>
      </c>
      <c r="J55" s="165">
        <v>2229999.4244725178</v>
      </c>
      <c r="K55" s="165">
        <v>8923511.8031254802</v>
      </c>
      <c r="L55" s="177">
        <f t="shared" si="1"/>
        <v>7324819.1194537021</v>
      </c>
      <c r="M55" s="166">
        <f t="shared" si="2"/>
        <v>44827482.855094388</v>
      </c>
      <c r="N55" s="189">
        <f>INDEX('CHIRP Payment Calc'!AM:AM,MATCH(F55,'CHIRP Payment Calc'!C:C,0))</f>
        <v>1.61</v>
      </c>
      <c r="O55" s="189">
        <f>INDEX('CHIRP Payment Calc'!AL:AL,MATCH(FeeCalc!F55,'CHIRP Payment Calc'!C:C,0))</f>
        <v>2.2999999999999998</v>
      </c>
      <c r="P55" s="164">
        <f t="shared" si="0"/>
        <v>114896169.34903754</v>
      </c>
      <c r="Q55" s="165">
        <f t="shared" si="3"/>
        <v>5538411.7823721711</v>
      </c>
      <c r="R55" s="165">
        <f t="shared" si="4"/>
        <v>1539215.5034418742</v>
      </c>
      <c r="S55" s="165">
        <f t="shared" si="5"/>
        <v>7077627.285814045</v>
      </c>
      <c r="T55" s="165">
        <f t="shared" si="6"/>
        <v>8703087.2243179902</v>
      </c>
      <c r="U55" s="165">
        <f t="shared" si="7"/>
        <v>3819467.0993625042</v>
      </c>
      <c r="V55" s="165">
        <f t="shared" si="8"/>
        <v>87617117.686502367</v>
      </c>
      <c r="W55" s="165">
        <f t="shared" si="9"/>
        <v>21834124.624668729</v>
      </c>
      <c r="X55" s="166">
        <f t="shared" si="10"/>
        <v>25653591.724031232</v>
      </c>
    </row>
    <row r="56" spans="4:24">
      <c r="D56" s="9" t="s">
        <v>223</v>
      </c>
      <c r="E56" s="9" t="s">
        <v>2718</v>
      </c>
      <c r="F56" s="4" t="s">
        <v>633</v>
      </c>
      <c r="G56" s="9" t="s">
        <v>2959</v>
      </c>
      <c r="H56" s="164">
        <v>1072462.8140874614</v>
      </c>
      <c r="I56" s="165">
        <v>7259209.2765648263</v>
      </c>
      <c r="J56" s="165">
        <v>746306.92435456777</v>
      </c>
      <c r="K56" s="165">
        <v>3618366.407879279</v>
      </c>
      <c r="L56" s="177">
        <f t="shared" si="1"/>
        <v>1818769.7384420293</v>
      </c>
      <c r="M56" s="166">
        <f t="shared" si="2"/>
        <v>10877575.684444105</v>
      </c>
      <c r="N56" s="189">
        <f>INDEX('CHIRP Payment Calc'!AM:AM,MATCH(F56,'CHIRP Payment Calc'!C:C,0))</f>
        <v>2.2199999999999998</v>
      </c>
      <c r="O56" s="189">
        <f>INDEX('CHIRP Payment Calc'!AL:AL,MATCH(FeeCalc!F56,'CHIRP Payment Calc'!C:C,0))</f>
        <v>2.23</v>
      </c>
      <c r="P56" s="164">
        <f t="shared" si="0"/>
        <v>28294662.59565166</v>
      </c>
      <c r="Q56" s="165">
        <f t="shared" si="3"/>
        <v>1132850.9153377076</v>
      </c>
      <c r="R56" s="165">
        <f t="shared" si="4"/>
        <v>620793.09329603845</v>
      </c>
      <c r="S56" s="165">
        <f t="shared" si="5"/>
        <v>1753644.0086337461</v>
      </c>
      <c r="T56" s="165">
        <f t="shared" si="6"/>
        <v>2526119.307452694</v>
      </c>
      <c r="U56" s="165">
        <f t="shared" si="7"/>
        <v>1762554.6511352556</v>
      </c>
      <c r="V56" s="165">
        <f t="shared" si="8"/>
        <v>17175635.741898742</v>
      </c>
      <c r="W56" s="165">
        <f t="shared" si="9"/>
        <v>8583996.9037987161</v>
      </c>
      <c r="X56" s="166">
        <f t="shared" si="10"/>
        <v>10346551.554933973</v>
      </c>
    </row>
    <row r="57" spans="4:24">
      <c r="D57" s="9" t="s">
        <v>223</v>
      </c>
      <c r="E57" s="9" t="s">
        <v>2718</v>
      </c>
      <c r="F57" s="4" t="s">
        <v>354</v>
      </c>
      <c r="G57" s="9" t="s">
        <v>3384</v>
      </c>
      <c r="H57" s="164">
        <v>341820.09434011474</v>
      </c>
      <c r="I57" s="165">
        <v>17958.747249749784</v>
      </c>
      <c r="J57" s="165">
        <v>106384.14390092427</v>
      </c>
      <c r="K57" s="165">
        <v>19801.573919210306</v>
      </c>
      <c r="L57" s="177">
        <f t="shared" si="1"/>
        <v>448204.23824103898</v>
      </c>
      <c r="M57" s="166">
        <f t="shared" si="2"/>
        <v>37760.321168960087</v>
      </c>
      <c r="N57" s="189">
        <f>INDEX('CHIRP Payment Calc'!AM:AM,MATCH(F57,'CHIRP Payment Calc'!C:C,0))</f>
        <v>2.56</v>
      </c>
      <c r="O57" s="189">
        <f>INDEX('CHIRP Payment Calc'!AL:AL,MATCH(FeeCalc!F57,'CHIRP Payment Calc'!C:C,0))</f>
        <v>3.21</v>
      </c>
      <c r="P57" s="164">
        <f t="shared" si="0"/>
        <v>1268613.4808494218</v>
      </c>
      <c r="Q57" s="165">
        <f t="shared" si="3"/>
        <v>56902.550302904463</v>
      </c>
      <c r="R57" s="165">
        <f t="shared" si="4"/>
        <v>21440.83791491689</v>
      </c>
      <c r="S57" s="165">
        <f t="shared" si="5"/>
        <v>78343.388217821353</v>
      </c>
      <c r="T57" s="165">
        <f t="shared" si="6"/>
        <v>928445.03078057698</v>
      </c>
      <c r="U57" s="165">
        <f t="shared" si="7"/>
        <v>289727.0301982619</v>
      </c>
      <c r="V57" s="165">
        <f t="shared" si="8"/>
        <v>61164.539704718103</v>
      </c>
      <c r="W57" s="165">
        <f t="shared" si="9"/>
        <v>67620.268383686256</v>
      </c>
      <c r="X57" s="166">
        <f t="shared" si="10"/>
        <v>357347.29858194815</v>
      </c>
    </row>
    <row r="58" spans="4:24">
      <c r="D58" s="9" t="s">
        <v>223</v>
      </c>
      <c r="E58" s="9" t="s">
        <v>2718</v>
      </c>
      <c r="F58" s="4" t="s">
        <v>1447</v>
      </c>
      <c r="G58" s="9" t="s">
        <v>3127</v>
      </c>
      <c r="H58" s="164">
        <v>0</v>
      </c>
      <c r="I58" s="165">
        <v>0</v>
      </c>
      <c r="J58" s="165">
        <v>0</v>
      </c>
      <c r="K58" s="165">
        <v>60747.308633349239</v>
      </c>
      <c r="L58" s="177">
        <f t="shared" si="1"/>
        <v>0</v>
      </c>
      <c r="M58" s="166">
        <f t="shared" si="2"/>
        <v>60747.308633349239</v>
      </c>
      <c r="N58" s="189">
        <f>INDEX('CHIRP Payment Calc'!AM:AM,MATCH(F58,'CHIRP Payment Calc'!C:C,0))</f>
        <v>1.08</v>
      </c>
      <c r="O58" s="189">
        <f>INDEX('CHIRP Payment Calc'!AL:AL,MATCH(FeeCalc!F58,'CHIRP Payment Calc'!C:C,0))</f>
        <v>1.2</v>
      </c>
      <c r="P58" s="164">
        <f t="shared" si="0"/>
        <v>72896.770360019087</v>
      </c>
      <c r="Q58" s="165">
        <f t="shared" si="3"/>
        <v>0</v>
      </c>
      <c r="R58" s="165">
        <f t="shared" si="4"/>
        <v>4652.985342128879</v>
      </c>
      <c r="S58" s="165">
        <f t="shared" si="5"/>
        <v>4652.985342128879</v>
      </c>
      <c r="T58" s="165">
        <f t="shared" si="6"/>
        <v>0</v>
      </c>
      <c r="U58" s="165">
        <f t="shared" si="7"/>
        <v>0</v>
      </c>
      <c r="V58" s="165">
        <f t="shared" si="8"/>
        <v>0</v>
      </c>
      <c r="W58" s="165">
        <f t="shared" si="9"/>
        <v>77549.755702147973</v>
      </c>
      <c r="X58" s="166">
        <f t="shared" si="10"/>
        <v>77549.755702147973</v>
      </c>
    </row>
    <row r="59" spans="4:24">
      <c r="D59" s="9" t="s">
        <v>223</v>
      </c>
      <c r="E59" s="9" t="s">
        <v>2718</v>
      </c>
      <c r="F59" s="4" t="s">
        <v>479</v>
      </c>
      <c r="G59" s="9" t="s">
        <v>3466</v>
      </c>
      <c r="H59" s="164">
        <v>953313.57954490662</v>
      </c>
      <c r="I59" s="165">
        <v>3703040.8546160893</v>
      </c>
      <c r="J59" s="165">
        <v>308686.78796444274</v>
      </c>
      <c r="K59" s="165">
        <v>1023581.6266231105</v>
      </c>
      <c r="L59" s="177">
        <f t="shared" si="1"/>
        <v>1262000.3675093492</v>
      </c>
      <c r="M59" s="166">
        <f t="shared" si="2"/>
        <v>4726622.4812391996</v>
      </c>
      <c r="N59" s="189">
        <f>INDEX('CHIRP Payment Calc'!AM:AM,MATCH(F59,'CHIRP Payment Calc'!C:C,0))</f>
        <v>2.52</v>
      </c>
      <c r="O59" s="189">
        <f>INDEX('CHIRP Payment Calc'!AL:AL,MATCH(FeeCalc!F59,'CHIRP Payment Calc'!C:C,0))</f>
        <v>3.8</v>
      </c>
      <c r="P59" s="164">
        <f t="shared" si="0"/>
        <v>21141406.354832519</v>
      </c>
      <c r="Q59" s="165">
        <f t="shared" si="3"/>
        <v>1005039.3256336049</v>
      </c>
      <c r="R59" s="165">
        <f t="shared" si="4"/>
        <v>297925.58852158824</v>
      </c>
      <c r="S59" s="165">
        <f t="shared" si="5"/>
        <v>1302964.9141551931</v>
      </c>
      <c r="T59" s="165">
        <f t="shared" si="6"/>
        <v>2548912.7007460636</v>
      </c>
      <c r="U59" s="165">
        <f t="shared" si="7"/>
        <v>827543.30390467623</v>
      </c>
      <c r="V59" s="165">
        <f t="shared" si="8"/>
        <v>14930032.092881845</v>
      </c>
      <c r="W59" s="165">
        <f t="shared" si="9"/>
        <v>4137883.1714551277</v>
      </c>
      <c r="X59" s="166">
        <f t="shared" si="10"/>
        <v>4965426.475359804</v>
      </c>
    </row>
    <row r="60" spans="4:24">
      <c r="D60" s="9" t="s">
        <v>223</v>
      </c>
      <c r="E60" s="9" t="s">
        <v>2718</v>
      </c>
      <c r="F60" s="4" t="s">
        <v>981</v>
      </c>
      <c r="G60" s="9" t="s">
        <v>3631</v>
      </c>
      <c r="H60" s="164">
        <v>1084706.8612990156</v>
      </c>
      <c r="I60" s="165">
        <v>2508227.8734728321</v>
      </c>
      <c r="J60" s="165">
        <v>437435.52034717856</v>
      </c>
      <c r="K60" s="165">
        <v>2296158.514364074</v>
      </c>
      <c r="L60" s="177">
        <f t="shared" si="1"/>
        <v>1522142.381646194</v>
      </c>
      <c r="M60" s="166">
        <f t="shared" si="2"/>
        <v>4804386.3878369061</v>
      </c>
      <c r="N60" s="189">
        <f>INDEX('CHIRP Payment Calc'!AM:AM,MATCH(F60,'CHIRP Payment Calc'!C:C,0))</f>
        <v>3.69</v>
      </c>
      <c r="O60" s="189">
        <f>INDEX('CHIRP Payment Calc'!AL:AL,MATCH(FeeCalc!F60,'CHIRP Payment Calc'!C:C,0))</f>
        <v>2.3899999999999997</v>
      </c>
      <c r="P60" s="164">
        <f t="shared" si="0"/>
        <v>17099188.85520466</v>
      </c>
      <c r="Q60" s="165">
        <f t="shared" si="3"/>
        <v>609910.76266113797</v>
      </c>
      <c r="R60" s="165">
        <f t="shared" si="4"/>
        <v>453316.33528156759</v>
      </c>
      <c r="S60" s="165">
        <f t="shared" si="5"/>
        <v>1063227.0979427055</v>
      </c>
      <c r="T60" s="165">
        <f t="shared" si="6"/>
        <v>4246756.8362794351</v>
      </c>
      <c r="U60" s="165">
        <f t="shared" si="7"/>
        <v>1717167.0958309458</v>
      </c>
      <c r="V60" s="165">
        <f t="shared" si="8"/>
        <v>6360386.8621751377</v>
      </c>
      <c r="W60" s="165">
        <f t="shared" si="9"/>
        <v>5838105.1588618476</v>
      </c>
      <c r="X60" s="166">
        <f t="shared" si="10"/>
        <v>7555272.2546927929</v>
      </c>
    </row>
    <row r="61" spans="4:24">
      <c r="D61" s="9" t="s">
        <v>223</v>
      </c>
      <c r="E61" s="9" t="s">
        <v>2718</v>
      </c>
      <c r="F61" s="4" t="s">
        <v>38</v>
      </c>
      <c r="G61" s="9" t="s">
        <v>3487</v>
      </c>
      <c r="H61" s="164">
        <v>210862.47427060356</v>
      </c>
      <c r="I61" s="165">
        <v>160982.18975297845</v>
      </c>
      <c r="J61" s="165">
        <v>89692.081841259147</v>
      </c>
      <c r="K61" s="165">
        <v>193364.34979217645</v>
      </c>
      <c r="L61" s="177">
        <f t="shared" si="1"/>
        <v>300554.55611186271</v>
      </c>
      <c r="M61" s="166">
        <f t="shared" si="2"/>
        <v>354346.5395451549</v>
      </c>
      <c r="N61" s="189">
        <f>INDEX('CHIRP Payment Calc'!AM:AM,MATCH(F61,'CHIRP Payment Calc'!C:C,0))</f>
        <v>2.62</v>
      </c>
      <c r="O61" s="189">
        <f>INDEX('CHIRP Payment Calc'!AL:AL,MATCH(FeeCalc!F61,'CHIRP Payment Calc'!C:C,0))</f>
        <v>2.33</v>
      </c>
      <c r="P61" s="164">
        <f t="shared" si="0"/>
        <v>1613080.3741532913</v>
      </c>
      <c r="Q61" s="165">
        <f t="shared" si="3"/>
        <v>56587.820287556198</v>
      </c>
      <c r="R61" s="165">
        <f t="shared" si="4"/>
        <v>43757.373794034269</v>
      </c>
      <c r="S61" s="165">
        <f t="shared" si="5"/>
        <v>100345.19408159047</v>
      </c>
      <c r="T61" s="165">
        <f t="shared" si="6"/>
        <v>586164.11945780518</v>
      </c>
      <c r="U61" s="165">
        <f t="shared" si="7"/>
        <v>249992.82385542445</v>
      </c>
      <c r="V61" s="165">
        <f t="shared" si="8"/>
        <v>397971.88554317219</v>
      </c>
      <c r="W61" s="165">
        <f t="shared" si="9"/>
        <v>479296.73937847995</v>
      </c>
      <c r="X61" s="166">
        <f t="shared" si="10"/>
        <v>729289.56323390442</v>
      </c>
    </row>
    <row r="62" spans="4:24">
      <c r="D62" s="9" t="s">
        <v>223</v>
      </c>
      <c r="E62" s="9" t="s">
        <v>2718</v>
      </c>
      <c r="F62" s="4" t="s">
        <v>229</v>
      </c>
      <c r="G62" s="9" t="s">
        <v>3542</v>
      </c>
      <c r="H62" s="164">
        <v>161468.37360386606</v>
      </c>
      <c r="I62" s="165">
        <v>52766.319236446689</v>
      </c>
      <c r="J62" s="165">
        <v>273407.20176576375</v>
      </c>
      <c r="K62" s="165">
        <v>316456.08196572319</v>
      </c>
      <c r="L62" s="177">
        <f t="shared" si="1"/>
        <v>434875.57536962978</v>
      </c>
      <c r="M62" s="166">
        <f t="shared" si="2"/>
        <v>369222.40120216989</v>
      </c>
      <c r="N62" s="189">
        <f>INDEX('CHIRP Payment Calc'!AM:AM,MATCH(F62,'CHIRP Payment Calc'!C:C,0))</f>
        <v>2.71</v>
      </c>
      <c r="O62" s="189">
        <f>INDEX('CHIRP Payment Calc'!AL:AL,MATCH(FeeCalc!F62,'CHIRP Payment Calc'!C:C,0))</f>
        <v>1.2</v>
      </c>
      <c r="P62" s="164">
        <f t="shared" si="0"/>
        <v>1621579.6906943005</v>
      </c>
      <c r="Q62" s="165">
        <f t="shared" si="3"/>
        <v>30558.817341259684</v>
      </c>
      <c r="R62" s="165">
        <f t="shared" si="4"/>
        <v>71532.817987920498</v>
      </c>
      <c r="S62" s="165">
        <f t="shared" si="5"/>
        <v>102091.63532918018</v>
      </c>
      <c r="T62" s="165">
        <f t="shared" si="6"/>
        <v>464275.11137026735</v>
      </c>
      <c r="U62" s="165">
        <f t="shared" si="7"/>
        <v>788227.14551619126</v>
      </c>
      <c r="V62" s="165">
        <f t="shared" si="8"/>
        <v>67182.581521205328</v>
      </c>
      <c r="W62" s="165">
        <f t="shared" si="9"/>
        <v>403986.48761581688</v>
      </c>
      <c r="X62" s="166">
        <f t="shared" si="10"/>
        <v>1192213.6331320081</v>
      </c>
    </row>
    <row r="63" spans="4:24">
      <c r="D63" s="9" t="s">
        <v>223</v>
      </c>
      <c r="E63" s="9" t="s">
        <v>2718</v>
      </c>
      <c r="F63" s="4" t="s">
        <v>681</v>
      </c>
      <c r="G63" s="9" t="s">
        <v>3446</v>
      </c>
      <c r="H63" s="164">
        <v>196951.55731875479</v>
      </c>
      <c r="I63" s="165">
        <v>278043.18500290328</v>
      </c>
      <c r="J63" s="165">
        <v>409135.98135757662</v>
      </c>
      <c r="K63" s="165">
        <v>1067969.316768724</v>
      </c>
      <c r="L63" s="177">
        <f t="shared" si="1"/>
        <v>606087.5386763314</v>
      </c>
      <c r="M63" s="166">
        <f t="shared" si="2"/>
        <v>1346012.5017716272</v>
      </c>
      <c r="N63" s="189">
        <f>INDEX('CHIRP Payment Calc'!AM:AM,MATCH(F63,'CHIRP Payment Calc'!C:C,0))</f>
        <v>1.35</v>
      </c>
      <c r="O63" s="189">
        <f>INDEX('CHIRP Payment Calc'!AL:AL,MATCH(FeeCalc!F63,'CHIRP Payment Calc'!C:C,0))</f>
        <v>1.2</v>
      </c>
      <c r="P63" s="164">
        <f t="shared" si="0"/>
        <v>2433433.179339</v>
      </c>
      <c r="Q63" s="165">
        <f t="shared" si="3"/>
        <v>36576.492734290361</v>
      </c>
      <c r="R63" s="165">
        <f t="shared" si="4"/>
        <v>117057.23967799133</v>
      </c>
      <c r="S63" s="165">
        <f t="shared" si="5"/>
        <v>153633.73241228168</v>
      </c>
      <c r="T63" s="165">
        <f t="shared" si="6"/>
        <v>282105.67891811032</v>
      </c>
      <c r="U63" s="165">
        <f t="shared" si="7"/>
        <v>587588.90939651965</v>
      </c>
      <c r="V63" s="165">
        <f t="shared" si="8"/>
        <v>354007.23819998291</v>
      </c>
      <c r="W63" s="165">
        <f t="shared" si="9"/>
        <v>1363365.0852366691</v>
      </c>
      <c r="X63" s="166">
        <f t="shared" si="10"/>
        <v>1950953.9946331887</v>
      </c>
    </row>
    <row r="64" spans="4:24">
      <c r="D64" s="9" t="s">
        <v>223</v>
      </c>
      <c r="E64" s="9" t="s">
        <v>2718</v>
      </c>
      <c r="F64" s="4" t="s">
        <v>630</v>
      </c>
      <c r="G64" s="9" t="s">
        <v>2956</v>
      </c>
      <c r="H64" s="164">
        <v>890935.43562245031</v>
      </c>
      <c r="I64" s="165">
        <v>2708774.7673644819</v>
      </c>
      <c r="J64" s="165">
        <v>262549.93356050784</v>
      </c>
      <c r="K64" s="165">
        <v>509434.16085657297</v>
      </c>
      <c r="L64" s="177">
        <f t="shared" si="1"/>
        <v>1153485.3691829583</v>
      </c>
      <c r="M64" s="166">
        <f t="shared" si="2"/>
        <v>3218208.9282210548</v>
      </c>
      <c r="N64" s="189">
        <f>INDEX('CHIRP Payment Calc'!AM:AM,MATCH(F64,'CHIRP Payment Calc'!C:C,0))</f>
        <v>2.0499999999999998</v>
      </c>
      <c r="O64" s="189">
        <f>INDEX('CHIRP Payment Calc'!AL:AL,MATCH(FeeCalc!F64,'CHIRP Payment Calc'!C:C,0))</f>
        <v>2.5099999999999998</v>
      </c>
      <c r="P64" s="164">
        <f t="shared" si="0"/>
        <v>10442349.41665991</v>
      </c>
      <c r="Q64" s="165">
        <f t="shared" si="3"/>
        <v>526220.61832771904</v>
      </c>
      <c r="R64" s="165">
        <f t="shared" si="4"/>
        <v>115972.79409887483</v>
      </c>
      <c r="S64" s="165">
        <f t="shared" si="5"/>
        <v>642193.41242659383</v>
      </c>
      <c r="T64" s="165">
        <f t="shared" si="6"/>
        <v>1937843.6530780084</v>
      </c>
      <c r="U64" s="165">
        <f t="shared" si="7"/>
        <v>572582.30191387341</v>
      </c>
      <c r="V64" s="165">
        <f t="shared" si="8"/>
        <v>7213819.2743605822</v>
      </c>
      <c r="W64" s="165">
        <f t="shared" si="9"/>
        <v>1360297.5997340404</v>
      </c>
      <c r="X64" s="166">
        <f t="shared" si="10"/>
        <v>1932879.9016479137</v>
      </c>
    </row>
    <row r="65" spans="4:24">
      <c r="D65" s="9" t="s">
        <v>223</v>
      </c>
      <c r="E65" s="9" t="s">
        <v>2718</v>
      </c>
      <c r="F65" s="4" t="s">
        <v>1794</v>
      </c>
      <c r="G65" s="9" t="s">
        <v>3100</v>
      </c>
      <c r="H65" s="164">
        <v>18376860.659286194</v>
      </c>
      <c r="I65" s="165">
        <v>29095165.270766903</v>
      </c>
      <c r="J65" s="165">
        <v>30219918.687697377</v>
      </c>
      <c r="K65" s="165">
        <v>18068255.140997969</v>
      </c>
      <c r="L65" s="177">
        <f t="shared" si="1"/>
        <v>48596779.346983567</v>
      </c>
      <c r="M65" s="166">
        <f t="shared" si="2"/>
        <v>47163420.411764875</v>
      </c>
      <c r="N65" s="189">
        <f>INDEX('CHIRP Payment Calc'!AM:AM,MATCH(F65,'CHIRP Payment Calc'!C:C,0))</f>
        <v>2.2000000000000002</v>
      </c>
      <c r="O65" s="189">
        <f>INDEX('CHIRP Payment Calc'!AL:AL,MATCH(FeeCalc!F65,'CHIRP Payment Calc'!C:C,0))</f>
        <v>1.5</v>
      </c>
      <c r="P65" s="164">
        <f t="shared" si="0"/>
        <v>177658045.18101117</v>
      </c>
      <c r="Q65" s="165">
        <f t="shared" si="3"/>
        <v>5129051.3294465244</v>
      </c>
      <c r="R65" s="165">
        <f t="shared" si="4"/>
        <v>5973587.4781551827</v>
      </c>
      <c r="S65" s="165">
        <f t="shared" si="5"/>
        <v>11102638.807601707</v>
      </c>
      <c r="T65" s="165">
        <f t="shared" si="6"/>
        <v>42895589.867829844</v>
      </c>
      <c r="U65" s="165">
        <f t="shared" si="7"/>
        <v>70727469.269078985</v>
      </c>
      <c r="V65" s="165">
        <f t="shared" si="8"/>
        <v>46305302.818196662</v>
      </c>
      <c r="W65" s="165">
        <f t="shared" si="9"/>
        <v>28832322.033507399</v>
      </c>
      <c r="X65" s="166">
        <f t="shared" si="10"/>
        <v>99559791.302586377</v>
      </c>
    </row>
    <row r="66" spans="4:24">
      <c r="D66" s="9" t="s">
        <v>223</v>
      </c>
      <c r="E66" s="9" t="s">
        <v>2718</v>
      </c>
      <c r="F66" s="4" t="s">
        <v>432</v>
      </c>
      <c r="G66" s="9" t="s">
        <v>3485</v>
      </c>
      <c r="H66" s="164">
        <v>0</v>
      </c>
      <c r="I66" s="165">
        <v>0</v>
      </c>
      <c r="J66" s="165">
        <v>51200.229222280861</v>
      </c>
      <c r="K66" s="165">
        <v>293131.06028008583</v>
      </c>
      <c r="L66" s="177">
        <f t="shared" si="1"/>
        <v>51200.229222280861</v>
      </c>
      <c r="M66" s="166">
        <f t="shared" si="2"/>
        <v>293131.06028008583</v>
      </c>
      <c r="N66" s="189">
        <f>INDEX('CHIRP Payment Calc'!AM:AM,MATCH(F66,'CHIRP Payment Calc'!C:C,0))</f>
        <v>9.4600000000000009</v>
      </c>
      <c r="O66" s="189">
        <f>INDEX('CHIRP Payment Calc'!AL:AL,MATCH(FeeCalc!F66,'CHIRP Payment Calc'!C:C,0))</f>
        <v>7.83</v>
      </c>
      <c r="P66" s="164">
        <f t="shared" si="0"/>
        <v>2779570.3704358488</v>
      </c>
      <c r="Q66" s="165">
        <f t="shared" si="3"/>
        <v>0</v>
      </c>
      <c r="R66" s="165">
        <f t="shared" si="4"/>
        <v>177419.38534696912</v>
      </c>
      <c r="S66" s="165">
        <f t="shared" si="5"/>
        <v>177419.38534696912</v>
      </c>
      <c r="T66" s="165">
        <f t="shared" si="6"/>
        <v>0</v>
      </c>
      <c r="U66" s="165">
        <f t="shared" si="7"/>
        <v>515270.39196040109</v>
      </c>
      <c r="V66" s="165">
        <f t="shared" si="8"/>
        <v>0</v>
      </c>
      <c r="W66" s="165">
        <f t="shared" si="9"/>
        <v>2441719.3638224173</v>
      </c>
      <c r="X66" s="166">
        <f t="shared" si="10"/>
        <v>2956989.7557828184</v>
      </c>
    </row>
    <row r="67" spans="4:24">
      <c r="D67" s="9" t="s">
        <v>223</v>
      </c>
      <c r="E67" s="9" t="s">
        <v>2718</v>
      </c>
      <c r="F67" s="4" t="s">
        <v>1440</v>
      </c>
      <c r="G67" s="9" t="s">
        <v>3121</v>
      </c>
      <c r="H67" s="164">
        <v>0</v>
      </c>
      <c r="I67" s="165">
        <v>33141.538896098049</v>
      </c>
      <c r="J67" s="165">
        <v>0</v>
      </c>
      <c r="K67" s="165">
        <v>649407.26948167279</v>
      </c>
      <c r="L67" s="177">
        <f t="shared" si="1"/>
        <v>0</v>
      </c>
      <c r="M67" s="166">
        <f t="shared" si="2"/>
        <v>682548.80837777082</v>
      </c>
      <c r="N67" s="189">
        <f>INDEX('CHIRP Payment Calc'!AM:AM,MATCH(F67,'CHIRP Payment Calc'!C:C,0))</f>
        <v>1.08</v>
      </c>
      <c r="O67" s="189">
        <f>INDEX('CHIRP Payment Calc'!AL:AL,MATCH(FeeCalc!F67,'CHIRP Payment Calc'!C:C,0))</f>
        <v>1.2</v>
      </c>
      <c r="P67" s="164">
        <f t="shared" si="0"/>
        <v>819058.57005332492</v>
      </c>
      <c r="Q67" s="165">
        <f t="shared" si="3"/>
        <v>2426.2771181228281</v>
      </c>
      <c r="R67" s="165">
        <f t="shared" si="4"/>
        <v>49741.83340710686</v>
      </c>
      <c r="S67" s="165">
        <f t="shared" si="5"/>
        <v>52168.110525229691</v>
      </c>
      <c r="T67" s="165">
        <f t="shared" si="6"/>
        <v>0</v>
      </c>
      <c r="U67" s="165">
        <f t="shared" si="7"/>
        <v>0</v>
      </c>
      <c r="V67" s="165">
        <f t="shared" si="8"/>
        <v>42196.123793440485</v>
      </c>
      <c r="W67" s="165">
        <f t="shared" si="9"/>
        <v>829030.55678511423</v>
      </c>
      <c r="X67" s="166">
        <f t="shared" si="10"/>
        <v>829030.55678511423</v>
      </c>
    </row>
    <row r="68" spans="4:24">
      <c r="D68" s="9" t="s">
        <v>223</v>
      </c>
      <c r="E68" s="9" t="s">
        <v>2718</v>
      </c>
      <c r="F68" s="4" t="s">
        <v>32</v>
      </c>
      <c r="G68" s="9" t="s">
        <v>3481</v>
      </c>
      <c r="H68" s="164">
        <v>1298958.9436982563</v>
      </c>
      <c r="I68" s="165">
        <v>2795090.9559195605</v>
      </c>
      <c r="J68" s="165">
        <v>329030.18374607665</v>
      </c>
      <c r="K68" s="165">
        <v>1036168.1400855568</v>
      </c>
      <c r="L68" s="177">
        <f t="shared" si="1"/>
        <v>1627989.1274443329</v>
      </c>
      <c r="M68" s="166">
        <f t="shared" si="2"/>
        <v>3831259.0960051175</v>
      </c>
      <c r="N68" s="189">
        <f>INDEX('CHIRP Payment Calc'!AM:AM,MATCH(F68,'CHIRP Payment Calc'!C:C,0))</f>
        <v>4.13</v>
      </c>
      <c r="O68" s="189">
        <f>INDEX('CHIRP Payment Calc'!AL:AL,MATCH(FeeCalc!F68,'CHIRP Payment Calc'!C:C,0))</f>
        <v>2.88</v>
      </c>
      <c r="P68" s="164">
        <f t="shared" si="0"/>
        <v>17757621.292839833</v>
      </c>
      <c r="Q68" s="165">
        <f t="shared" si="3"/>
        <v>818395.05300267669</v>
      </c>
      <c r="R68" s="165">
        <f t="shared" si="4"/>
        <v>277216.52567985322</v>
      </c>
      <c r="S68" s="165">
        <f t="shared" si="5"/>
        <v>1095611.57868253</v>
      </c>
      <c r="T68" s="165">
        <f t="shared" si="6"/>
        <v>5691989.854083606</v>
      </c>
      <c r="U68" s="165">
        <f t="shared" si="7"/>
        <v>1445632.6158205285</v>
      </c>
      <c r="V68" s="165">
        <f t="shared" si="8"/>
        <v>8540967.5894412044</v>
      </c>
      <c r="W68" s="165">
        <f t="shared" si="9"/>
        <v>3174642.8121770248</v>
      </c>
      <c r="X68" s="166">
        <f t="shared" si="10"/>
        <v>4620275.4279975537</v>
      </c>
    </row>
    <row r="69" spans="4:24">
      <c r="D69" s="9" t="s">
        <v>1189</v>
      </c>
      <c r="E69" s="9" t="s">
        <v>1552</v>
      </c>
      <c r="F69" s="4" t="s">
        <v>127</v>
      </c>
      <c r="G69" s="9" t="s">
        <v>3544</v>
      </c>
      <c r="H69" s="164">
        <v>5843139.3367635431</v>
      </c>
      <c r="I69" s="165">
        <v>25284209.568357795</v>
      </c>
      <c r="J69" s="165">
        <v>18142.363530726296</v>
      </c>
      <c r="K69" s="165">
        <v>89693.711460975348</v>
      </c>
      <c r="L69" s="177">
        <f t="shared" si="1"/>
        <v>5861281.7002942692</v>
      </c>
      <c r="M69" s="166">
        <f t="shared" si="2"/>
        <v>25373903.27981877</v>
      </c>
      <c r="N69" s="189">
        <f>INDEX('CHIRP Payment Calc'!AM:AM,MATCH(F69,'CHIRP Payment Calc'!C:C,0))</f>
        <v>1.96</v>
      </c>
      <c r="O69" s="189">
        <f>INDEX('CHIRP Payment Calc'!AL:AL,MATCH(FeeCalc!F69,'CHIRP Payment Calc'!C:C,0))</f>
        <v>0.45999999999999996</v>
      </c>
      <c r="P69" s="164">
        <f t="shared" ref="P69:P131" si="11">(L69*N69)+(M69*O69)</f>
        <v>23160107.641293399</v>
      </c>
      <c r="Q69" s="165">
        <f t="shared" si="3"/>
        <v>1408264.3462454272</v>
      </c>
      <c r="R69" s="165">
        <f t="shared" si="4"/>
        <v>4903.2855186556735</v>
      </c>
      <c r="S69" s="165">
        <f t="shared" si="5"/>
        <v>1413167.6317640829</v>
      </c>
      <c r="T69" s="165">
        <f t="shared" si="6"/>
        <v>12151249.973534796</v>
      </c>
      <c r="U69" s="165">
        <f t="shared" si="7"/>
        <v>37828.758000237809</v>
      </c>
      <c r="V69" s="165">
        <f t="shared" si="8"/>
        <v>12340303.87421176</v>
      </c>
      <c r="W69" s="165">
        <f t="shared" si="9"/>
        <v>43892.667310690063</v>
      </c>
      <c r="X69" s="166">
        <f t="shared" ref="X69:X131" si="12">U69+W69</f>
        <v>81721.42531092788</v>
      </c>
    </row>
    <row r="70" spans="4:24">
      <c r="D70" s="9" t="s">
        <v>1189</v>
      </c>
      <c r="E70" s="9" t="s">
        <v>3069</v>
      </c>
      <c r="F70" s="4" t="s">
        <v>1499</v>
      </c>
      <c r="G70" s="9" t="s">
        <v>3072</v>
      </c>
      <c r="H70" s="164">
        <v>0</v>
      </c>
      <c r="I70" s="165">
        <v>2346727.4032828701</v>
      </c>
      <c r="J70" s="165">
        <v>0</v>
      </c>
      <c r="K70" s="165">
        <v>0</v>
      </c>
      <c r="L70" s="177">
        <f t="shared" ref="L70:L132" si="13">H70+J70</f>
        <v>0</v>
      </c>
      <c r="M70" s="166">
        <f t="shared" ref="M70:M132" si="14">I70+K70</f>
        <v>2346727.4032828701</v>
      </c>
      <c r="N70" s="189">
        <f>INDEX('CHIRP Payment Calc'!AM:AM,MATCH(F70,'CHIRP Payment Calc'!C:C,0))</f>
        <v>0</v>
      </c>
      <c r="O70" s="189">
        <f>INDEX('CHIRP Payment Calc'!AL:AL,MATCH(FeeCalc!F70,'CHIRP Payment Calc'!C:C,0))</f>
        <v>0.12</v>
      </c>
      <c r="P70" s="164">
        <f t="shared" si="11"/>
        <v>281607.28839394439</v>
      </c>
      <c r="Q70" s="165">
        <f t="shared" ref="Q70:Q132" si="15">(T70+V70)*$B$10</f>
        <v>17180.285498834804</v>
      </c>
      <c r="R70" s="165">
        <f t="shared" ref="R70:R132" si="16">(U70+W70)*$B$11</f>
        <v>0</v>
      </c>
      <c r="S70" s="165">
        <f t="shared" ref="S70:S132" si="17">(T70+V70)*$B$10+(U70+W70)*$B$11</f>
        <v>17180.285498834804</v>
      </c>
      <c r="T70" s="165">
        <f t="shared" ref="T70:T132" si="18">H70/(1-$B$10)*N70</f>
        <v>0</v>
      </c>
      <c r="U70" s="165">
        <f t="shared" ref="U70:U132" si="19">J70/(1-$B$11)*N70</f>
        <v>0</v>
      </c>
      <c r="V70" s="165">
        <f t="shared" ref="V70:V132" si="20">I70/(1-$B$10)*O70</f>
        <v>298787.57389277918</v>
      </c>
      <c r="W70" s="165">
        <f t="shared" ref="W70:W132" si="21">K70/(1-$B$11)*O70</f>
        <v>0</v>
      </c>
      <c r="X70" s="166">
        <f t="shared" si="12"/>
        <v>0</v>
      </c>
    </row>
    <row r="71" spans="4:24">
      <c r="D71" s="9" t="s">
        <v>1189</v>
      </c>
      <c r="E71" s="9" t="s">
        <v>3069</v>
      </c>
      <c r="F71" s="4" t="s">
        <v>1350</v>
      </c>
      <c r="G71" s="9" t="s">
        <v>3342</v>
      </c>
      <c r="H71" s="164">
        <v>0</v>
      </c>
      <c r="I71" s="165">
        <v>3937201.5824127966</v>
      </c>
      <c r="J71" s="165">
        <v>0</v>
      </c>
      <c r="K71" s="165">
        <v>0</v>
      </c>
      <c r="L71" s="177">
        <f t="shared" si="13"/>
        <v>0</v>
      </c>
      <c r="M71" s="166">
        <f t="shared" si="14"/>
        <v>3937201.5824127966</v>
      </c>
      <c r="N71" s="189">
        <f>INDEX('CHIRP Payment Calc'!AM:AM,MATCH(F71,'CHIRP Payment Calc'!C:C,0))</f>
        <v>0</v>
      </c>
      <c r="O71" s="189">
        <f>INDEX('CHIRP Payment Calc'!AL:AL,MATCH(FeeCalc!F71,'CHIRP Payment Calc'!C:C,0))</f>
        <v>0.12</v>
      </c>
      <c r="P71" s="164">
        <f t="shared" si="11"/>
        <v>472464.18988953554</v>
      </c>
      <c r="Q71" s="165">
        <f t="shared" si="15"/>
        <v>28824.07524525018</v>
      </c>
      <c r="R71" s="165">
        <f t="shared" si="16"/>
        <v>0</v>
      </c>
      <c r="S71" s="165">
        <f t="shared" si="17"/>
        <v>28824.07524525018</v>
      </c>
      <c r="T71" s="165">
        <f t="shared" si="18"/>
        <v>0</v>
      </c>
      <c r="U71" s="165">
        <f t="shared" si="19"/>
        <v>0</v>
      </c>
      <c r="V71" s="165">
        <f t="shared" si="20"/>
        <v>501288.26513478573</v>
      </c>
      <c r="W71" s="165">
        <f t="shared" si="21"/>
        <v>0</v>
      </c>
      <c r="X71" s="166">
        <f t="shared" si="12"/>
        <v>0</v>
      </c>
    </row>
    <row r="72" spans="4:24">
      <c r="D72" s="9" t="s">
        <v>1189</v>
      </c>
      <c r="E72" s="9" t="s">
        <v>3389</v>
      </c>
      <c r="F72" s="4" t="s">
        <v>2793</v>
      </c>
      <c r="G72" s="9" t="s">
        <v>3157</v>
      </c>
      <c r="H72" s="164">
        <v>0</v>
      </c>
      <c r="I72" s="165">
        <v>65431.453357749066</v>
      </c>
      <c r="J72" s="165">
        <v>0</v>
      </c>
      <c r="K72" s="165">
        <v>0</v>
      </c>
      <c r="L72" s="177">
        <f t="shared" si="13"/>
        <v>0</v>
      </c>
      <c r="M72" s="166">
        <f t="shared" si="14"/>
        <v>65431.453357749066</v>
      </c>
      <c r="N72" s="189">
        <f>INDEX('CHIRP Payment Calc'!AM:AM,MATCH(F72,'CHIRP Payment Calc'!C:C,0))</f>
        <v>0</v>
      </c>
      <c r="O72" s="189">
        <f>INDEX('CHIRP Payment Calc'!AL:AL,MATCH(FeeCalc!F72,'CHIRP Payment Calc'!C:C,0))</f>
        <v>2.86</v>
      </c>
      <c r="P72" s="164">
        <f t="shared" si="11"/>
        <v>187133.95660316231</v>
      </c>
      <c r="Q72" s="165">
        <f t="shared" si="15"/>
        <v>11416.660482421046</v>
      </c>
      <c r="R72" s="165">
        <f t="shared" si="16"/>
        <v>0</v>
      </c>
      <c r="S72" s="165">
        <f t="shared" si="17"/>
        <v>11416.660482421046</v>
      </c>
      <c r="T72" s="165">
        <f t="shared" si="18"/>
        <v>0</v>
      </c>
      <c r="U72" s="165">
        <f t="shared" si="19"/>
        <v>0</v>
      </c>
      <c r="V72" s="165">
        <f t="shared" si="20"/>
        <v>198550.61708558339</v>
      </c>
      <c r="W72" s="165">
        <f t="shared" si="21"/>
        <v>0</v>
      </c>
      <c r="X72" s="166">
        <f t="shared" si="12"/>
        <v>0</v>
      </c>
    </row>
    <row r="73" spans="4:24">
      <c r="D73" s="9" t="s">
        <v>1189</v>
      </c>
      <c r="E73" s="9" t="s">
        <v>2718</v>
      </c>
      <c r="F73" s="4" t="s">
        <v>166</v>
      </c>
      <c r="G73" s="9" t="s">
        <v>3445</v>
      </c>
      <c r="H73" s="164">
        <v>2243884.9765762184</v>
      </c>
      <c r="I73" s="165">
        <v>52417.041667566213</v>
      </c>
      <c r="J73" s="165">
        <v>306217.36334595596</v>
      </c>
      <c r="K73" s="165">
        <v>97776.797346462408</v>
      </c>
      <c r="L73" s="177">
        <f t="shared" si="13"/>
        <v>2550102.3399221743</v>
      </c>
      <c r="M73" s="166">
        <f t="shared" si="14"/>
        <v>150193.83901402861</v>
      </c>
      <c r="N73" s="189">
        <f>INDEX('CHIRP Payment Calc'!AM:AM,MATCH(F73,'CHIRP Payment Calc'!C:C,0))</f>
        <v>2.39</v>
      </c>
      <c r="O73" s="189">
        <f>INDEX('CHIRP Payment Calc'!AL:AL,MATCH(FeeCalc!F73,'CHIRP Payment Calc'!C:C,0))</f>
        <v>2.38</v>
      </c>
      <c r="P73" s="164">
        <f t="shared" si="11"/>
        <v>6452205.929267385</v>
      </c>
      <c r="Q73" s="165">
        <f t="shared" si="15"/>
        <v>334789.56504848093</v>
      </c>
      <c r="R73" s="165">
        <f t="shared" si="16"/>
        <v>61568.187834983961</v>
      </c>
      <c r="S73" s="165">
        <f t="shared" si="17"/>
        <v>396357.75288346491</v>
      </c>
      <c r="T73" s="165">
        <f t="shared" si="18"/>
        <v>5690063.7602304108</v>
      </c>
      <c r="U73" s="165">
        <f t="shared" si="19"/>
        <v>778573.93446471787</v>
      </c>
      <c r="V73" s="165">
        <f t="shared" si="20"/>
        <v>132363.45800403989</v>
      </c>
      <c r="W73" s="165">
        <f t="shared" si="21"/>
        <v>247562.52945168142</v>
      </c>
      <c r="X73" s="166">
        <f t="shared" si="12"/>
        <v>1026136.4639163993</v>
      </c>
    </row>
    <row r="74" spans="4:24">
      <c r="D74" s="9" t="s">
        <v>1189</v>
      </c>
      <c r="E74" s="9" t="s">
        <v>2718</v>
      </c>
      <c r="F74" s="4" t="s">
        <v>3271</v>
      </c>
      <c r="G74" s="9" t="s">
        <v>3515</v>
      </c>
      <c r="H74" s="164">
        <v>0</v>
      </c>
      <c r="I74" s="165">
        <v>0</v>
      </c>
      <c r="J74" s="165">
        <v>0</v>
      </c>
      <c r="K74" s="165">
        <v>0</v>
      </c>
      <c r="L74" s="177">
        <f t="shared" si="13"/>
        <v>0</v>
      </c>
      <c r="M74" s="166">
        <f t="shared" si="14"/>
        <v>0</v>
      </c>
      <c r="N74" s="189">
        <f>INDEX('CHIRP Payment Calc'!AM:AM,MATCH(F74,'CHIRP Payment Calc'!C:C,0))</f>
        <v>0.92</v>
      </c>
      <c r="O74" s="189">
        <f>INDEX('CHIRP Payment Calc'!AL:AL,MATCH(FeeCalc!F74,'CHIRP Payment Calc'!C:C,0))</f>
        <v>0.48</v>
      </c>
      <c r="P74" s="164">
        <f t="shared" si="11"/>
        <v>0</v>
      </c>
      <c r="Q74" s="165">
        <f t="shared" si="15"/>
        <v>0</v>
      </c>
      <c r="R74" s="165">
        <f t="shared" si="16"/>
        <v>0</v>
      </c>
      <c r="S74" s="165">
        <f t="shared" si="17"/>
        <v>0</v>
      </c>
      <c r="T74" s="165">
        <f t="shared" si="18"/>
        <v>0</v>
      </c>
      <c r="U74" s="165">
        <f t="shared" si="19"/>
        <v>0</v>
      </c>
      <c r="V74" s="165">
        <f t="shared" si="20"/>
        <v>0</v>
      </c>
      <c r="W74" s="165">
        <f t="shared" si="21"/>
        <v>0</v>
      </c>
      <c r="X74" s="166">
        <f t="shared" si="12"/>
        <v>0</v>
      </c>
    </row>
    <row r="75" spans="4:24">
      <c r="D75" s="9" t="s">
        <v>1189</v>
      </c>
      <c r="E75" s="9" t="s">
        <v>2718</v>
      </c>
      <c r="F75" s="4" t="s">
        <v>1716</v>
      </c>
      <c r="G75" s="9" t="s">
        <v>3568</v>
      </c>
      <c r="H75" s="164">
        <v>736473.05954912549</v>
      </c>
      <c r="I75" s="165">
        <v>376881.12227447814</v>
      </c>
      <c r="J75" s="165">
        <v>425668.79544652777</v>
      </c>
      <c r="K75" s="165">
        <v>1295024.4617945359</v>
      </c>
      <c r="L75" s="177">
        <f t="shared" si="13"/>
        <v>1162141.8549956533</v>
      </c>
      <c r="M75" s="166">
        <f t="shared" si="14"/>
        <v>1671905.5840690141</v>
      </c>
      <c r="N75" s="189">
        <f>INDEX('CHIRP Payment Calc'!AM:AM,MATCH(F75,'CHIRP Payment Calc'!C:C,0))</f>
        <v>2.17</v>
      </c>
      <c r="O75" s="189">
        <f>INDEX('CHIRP Payment Calc'!AL:AL,MATCH(FeeCalc!F75,'CHIRP Payment Calc'!C:C,0))</f>
        <v>4.33</v>
      </c>
      <c r="P75" s="164">
        <f t="shared" si="11"/>
        <v>9761199.004359398</v>
      </c>
      <c r="Q75" s="165">
        <f t="shared" si="15"/>
        <v>197058.25296926298</v>
      </c>
      <c r="R75" s="165">
        <f t="shared" si="16"/>
        <v>416882.37483123236</v>
      </c>
      <c r="S75" s="165">
        <f t="shared" si="17"/>
        <v>613940.62780049536</v>
      </c>
      <c r="T75" s="165">
        <f t="shared" si="18"/>
        <v>1695646.1954605861</v>
      </c>
      <c r="U75" s="165">
        <f t="shared" si="19"/>
        <v>982660.94267975027</v>
      </c>
      <c r="V75" s="165">
        <f t="shared" si="20"/>
        <v>1731453.8561787696</v>
      </c>
      <c r="W75" s="165">
        <f t="shared" si="21"/>
        <v>5965378.6378407888</v>
      </c>
      <c r="X75" s="166">
        <f t="shared" si="12"/>
        <v>6948039.5805205386</v>
      </c>
    </row>
    <row r="76" spans="4:24">
      <c r="D76" s="9" t="s">
        <v>1189</v>
      </c>
      <c r="E76" s="9" t="s">
        <v>2718</v>
      </c>
      <c r="F76" s="4" t="s">
        <v>702</v>
      </c>
      <c r="G76" s="9" t="s">
        <v>3378</v>
      </c>
      <c r="H76" s="164">
        <v>5330287.8510409594</v>
      </c>
      <c r="I76" s="165">
        <v>6357259.8887590254</v>
      </c>
      <c r="J76" s="165">
        <v>5353288.4367473843</v>
      </c>
      <c r="K76" s="165">
        <v>4417802.6180459801</v>
      </c>
      <c r="L76" s="177">
        <f t="shared" si="13"/>
        <v>10683576.287788343</v>
      </c>
      <c r="M76" s="166">
        <f t="shared" si="14"/>
        <v>10775062.506805006</v>
      </c>
      <c r="N76" s="189">
        <f>INDEX('CHIRP Payment Calc'!AM:AM,MATCH(F76,'CHIRP Payment Calc'!C:C,0))</f>
        <v>0.92</v>
      </c>
      <c r="O76" s="189">
        <f>INDEX('CHIRP Payment Calc'!AL:AL,MATCH(FeeCalc!F76,'CHIRP Payment Calc'!C:C,0))</f>
        <v>0.48</v>
      </c>
      <c r="P76" s="164">
        <f t="shared" si="11"/>
        <v>15000920.188031677</v>
      </c>
      <c r="Q76" s="165">
        <f t="shared" si="15"/>
        <v>485339.62891227147</v>
      </c>
      <c r="R76" s="165">
        <f t="shared" si="16"/>
        <v>449717.27351934032</v>
      </c>
      <c r="S76" s="165">
        <f t="shared" si="17"/>
        <v>935056.90243161179</v>
      </c>
      <c r="T76" s="165">
        <f t="shared" si="18"/>
        <v>5203039.5999551006</v>
      </c>
      <c r="U76" s="165">
        <f t="shared" si="19"/>
        <v>5239388.6827740362</v>
      </c>
      <c r="V76" s="165">
        <f t="shared" si="20"/>
        <v>3237649.5985191851</v>
      </c>
      <c r="W76" s="165">
        <f t="shared" si="21"/>
        <v>2255899.2092149686</v>
      </c>
      <c r="X76" s="166">
        <f t="shared" si="12"/>
        <v>7495287.8919890048</v>
      </c>
    </row>
    <row r="77" spans="4:24">
      <c r="D77" s="9" t="s">
        <v>1189</v>
      </c>
      <c r="E77" s="9" t="s">
        <v>2718</v>
      </c>
      <c r="F77" s="4" t="s">
        <v>1084</v>
      </c>
      <c r="G77" s="9" t="s">
        <v>3570</v>
      </c>
      <c r="H77" s="164">
        <v>1145292.7104488912</v>
      </c>
      <c r="I77" s="165">
        <v>613999.62946807174</v>
      </c>
      <c r="J77" s="165">
        <v>204141.34942847106</v>
      </c>
      <c r="K77" s="165">
        <v>661138.75304038136</v>
      </c>
      <c r="L77" s="177">
        <f t="shared" si="13"/>
        <v>1349434.0598773621</v>
      </c>
      <c r="M77" s="166">
        <f t="shared" si="14"/>
        <v>1275138.382508453</v>
      </c>
      <c r="N77" s="189">
        <f>INDEX('CHIRP Payment Calc'!AM:AM,MATCH(F77,'CHIRP Payment Calc'!C:C,0))</f>
        <v>1.69</v>
      </c>
      <c r="O77" s="189">
        <f>INDEX('CHIRP Payment Calc'!AL:AL,MATCH(FeeCalc!F77,'CHIRP Payment Calc'!C:C,0))</f>
        <v>3.88</v>
      </c>
      <c r="P77" s="164">
        <f t="shared" si="11"/>
        <v>7228080.4853255395</v>
      </c>
      <c r="Q77" s="165">
        <f t="shared" si="15"/>
        <v>263424.0174771329</v>
      </c>
      <c r="R77" s="165">
        <f t="shared" si="16"/>
        <v>185758.54738281679</v>
      </c>
      <c r="S77" s="165">
        <f t="shared" si="17"/>
        <v>449182.56485994969</v>
      </c>
      <c r="T77" s="165">
        <f t="shared" si="18"/>
        <v>2053628.3083911152</v>
      </c>
      <c r="U77" s="165">
        <f t="shared" si="19"/>
        <v>367020.0856745916</v>
      </c>
      <c r="V77" s="165">
        <f t="shared" si="20"/>
        <v>2527658.952080762</v>
      </c>
      <c r="W77" s="165">
        <f t="shared" si="21"/>
        <v>2728955.7040390209</v>
      </c>
      <c r="X77" s="166">
        <f t="shared" si="12"/>
        <v>3095975.7897136128</v>
      </c>
    </row>
    <row r="78" spans="4:24">
      <c r="D78" s="9" t="s">
        <v>1189</v>
      </c>
      <c r="E78" s="9" t="s">
        <v>2718</v>
      </c>
      <c r="F78" s="4" t="s">
        <v>1673</v>
      </c>
      <c r="G78" s="9" t="s">
        <v>3567</v>
      </c>
      <c r="H78" s="164">
        <v>4782399.578609284</v>
      </c>
      <c r="I78" s="165">
        <v>9219633.8391597942</v>
      </c>
      <c r="J78" s="165">
        <v>1321736.9360545662</v>
      </c>
      <c r="K78" s="165">
        <v>1205045.5019514346</v>
      </c>
      <c r="L78" s="177">
        <f t="shared" si="13"/>
        <v>6104136.51466385</v>
      </c>
      <c r="M78" s="166">
        <f t="shared" si="14"/>
        <v>10424679.341111228</v>
      </c>
      <c r="N78" s="189">
        <f>INDEX('CHIRP Payment Calc'!AM:AM,MATCH(F78,'CHIRP Payment Calc'!C:C,0))</f>
        <v>1.81</v>
      </c>
      <c r="O78" s="189">
        <f>INDEX('CHIRP Payment Calc'!AL:AL,MATCH(FeeCalc!F78,'CHIRP Payment Calc'!C:C,0))</f>
        <v>2.81</v>
      </c>
      <c r="P78" s="164">
        <f t="shared" si="11"/>
        <v>40341836.040064119</v>
      </c>
      <c r="Q78" s="165">
        <f t="shared" si="15"/>
        <v>2108637.2134811725</v>
      </c>
      <c r="R78" s="165">
        <f t="shared" si="16"/>
        <v>368841.81157929555</v>
      </c>
      <c r="S78" s="165">
        <f t="shared" si="17"/>
        <v>2477479.0250604679</v>
      </c>
      <c r="T78" s="165">
        <f t="shared" si="18"/>
        <v>9184236.8565334789</v>
      </c>
      <c r="U78" s="165">
        <f t="shared" si="19"/>
        <v>2545046.6534667714</v>
      </c>
      <c r="V78" s="165">
        <f t="shared" si="20"/>
        <v>27487714.682269517</v>
      </c>
      <c r="W78" s="165">
        <f t="shared" si="21"/>
        <v>3602316.8728548205</v>
      </c>
      <c r="X78" s="166">
        <f t="shared" si="12"/>
        <v>6147363.5263215918</v>
      </c>
    </row>
    <row r="79" spans="4:24">
      <c r="D79" s="9" t="s">
        <v>1189</v>
      </c>
      <c r="E79" s="9" t="s">
        <v>2718</v>
      </c>
      <c r="F79" s="4" t="s">
        <v>705</v>
      </c>
      <c r="G79" s="9" t="s">
        <v>3353</v>
      </c>
      <c r="H79" s="164">
        <v>3656237.9560671244</v>
      </c>
      <c r="I79" s="165">
        <v>14467807.939649856</v>
      </c>
      <c r="J79" s="165">
        <v>1366138.8612894162</v>
      </c>
      <c r="K79" s="165">
        <v>4634422.3641333003</v>
      </c>
      <c r="L79" s="177">
        <f t="shared" si="13"/>
        <v>5022376.8173565408</v>
      </c>
      <c r="M79" s="166">
        <f t="shared" si="14"/>
        <v>19102230.303783156</v>
      </c>
      <c r="N79" s="189">
        <f>INDEX('CHIRP Payment Calc'!AM:AM,MATCH(F79,'CHIRP Payment Calc'!C:C,0))</f>
        <v>2.57</v>
      </c>
      <c r="O79" s="189">
        <f>INDEX('CHIRP Payment Calc'!AL:AL,MATCH(FeeCalc!F79,'CHIRP Payment Calc'!C:C,0))</f>
        <v>1.93</v>
      </c>
      <c r="P79" s="164">
        <f t="shared" si="11"/>
        <v>49774812.906907797</v>
      </c>
      <c r="Q79" s="165">
        <f t="shared" si="15"/>
        <v>2276780.4244673336</v>
      </c>
      <c r="R79" s="165">
        <f t="shared" si="16"/>
        <v>795026.30018879171</v>
      </c>
      <c r="S79" s="165">
        <f t="shared" si="17"/>
        <v>3071806.7246561255</v>
      </c>
      <c r="T79" s="165">
        <f t="shared" si="18"/>
        <v>9969794.7449257392</v>
      </c>
      <c r="U79" s="165">
        <f t="shared" si="19"/>
        <v>3735081.7803338291</v>
      </c>
      <c r="V79" s="165">
        <f t="shared" si="20"/>
        <v>29626386.550158322</v>
      </c>
      <c r="W79" s="165">
        <f t="shared" si="21"/>
        <v>9515356.5561460312</v>
      </c>
      <c r="X79" s="166">
        <f t="shared" si="12"/>
        <v>13250438.336479861</v>
      </c>
    </row>
    <row r="80" spans="4:24">
      <c r="D80" s="9" t="s">
        <v>1189</v>
      </c>
      <c r="E80" s="9" t="s">
        <v>2718</v>
      </c>
      <c r="F80" s="4" t="s">
        <v>1081</v>
      </c>
      <c r="G80" s="9" t="s">
        <v>3569</v>
      </c>
      <c r="H80" s="164">
        <v>5029049.0989112565</v>
      </c>
      <c r="I80" s="165">
        <v>8421776.3091411944</v>
      </c>
      <c r="J80" s="165">
        <v>601645.18691176001</v>
      </c>
      <c r="K80" s="165">
        <v>2020297.9316068233</v>
      </c>
      <c r="L80" s="177">
        <f t="shared" si="13"/>
        <v>5630694.2858230164</v>
      </c>
      <c r="M80" s="166">
        <f t="shared" si="14"/>
        <v>10442074.240748018</v>
      </c>
      <c r="N80" s="189">
        <f>INDEX('CHIRP Payment Calc'!AM:AM,MATCH(F80,'CHIRP Payment Calc'!C:C,0))</f>
        <v>1.56</v>
      </c>
      <c r="O80" s="189">
        <f>INDEX('CHIRP Payment Calc'!AL:AL,MATCH(FeeCalc!F80,'CHIRP Payment Calc'!C:C,0))</f>
        <v>2.13</v>
      </c>
      <c r="P80" s="164">
        <f t="shared" si="11"/>
        <v>31025501.218677185</v>
      </c>
      <c r="Q80" s="165">
        <f t="shared" si="15"/>
        <v>1573010.8834317322</v>
      </c>
      <c r="R80" s="165">
        <f t="shared" si="16"/>
        <v>334583.04803648166</v>
      </c>
      <c r="S80" s="165">
        <f t="shared" si="17"/>
        <v>1907593.9314682139</v>
      </c>
      <c r="T80" s="165">
        <f t="shared" si="18"/>
        <v>8323943.3361289762</v>
      </c>
      <c r="U80" s="165">
        <f t="shared" si="19"/>
        <v>998474.99104504869</v>
      </c>
      <c r="V80" s="165">
        <f t="shared" si="20"/>
        <v>19032767.680075061</v>
      </c>
      <c r="W80" s="165">
        <f t="shared" si="21"/>
        <v>4577909.1428963123</v>
      </c>
      <c r="X80" s="166">
        <f t="shared" si="12"/>
        <v>5576384.1339413607</v>
      </c>
    </row>
    <row r="81" spans="4:24">
      <c r="D81" s="9" t="s">
        <v>300</v>
      </c>
      <c r="E81" s="9" t="s">
        <v>1552</v>
      </c>
      <c r="F81" s="4" t="s">
        <v>426</v>
      </c>
      <c r="G81" s="9" t="s">
        <v>3556</v>
      </c>
      <c r="H81" s="164">
        <v>163098488.31595024</v>
      </c>
      <c r="I81" s="165">
        <v>208003811.89135751</v>
      </c>
      <c r="J81" s="165">
        <v>1530084.894110532</v>
      </c>
      <c r="K81" s="165">
        <v>2943570.4640062745</v>
      </c>
      <c r="L81" s="177">
        <f t="shared" si="13"/>
        <v>164628573.21006078</v>
      </c>
      <c r="M81" s="166">
        <f t="shared" si="14"/>
        <v>210947382.35536379</v>
      </c>
      <c r="N81" s="189">
        <f>INDEX('CHIRP Payment Calc'!AM:AM,MATCH(F81,'CHIRP Payment Calc'!C:C,0))</f>
        <v>0.9</v>
      </c>
      <c r="O81" s="189">
        <f>INDEX('CHIRP Payment Calc'!AL:AL,MATCH(FeeCalc!F81,'CHIRP Payment Calc'!C:C,0))</f>
        <v>1.34</v>
      </c>
      <c r="P81" s="164">
        <f t="shared" si="11"/>
        <v>430835208.24524218</v>
      </c>
      <c r="Q81" s="165">
        <f t="shared" si="15"/>
        <v>25959724.643585701</v>
      </c>
      <c r="R81" s="165">
        <f t="shared" si="16"/>
        <v>339667.71232773754</v>
      </c>
      <c r="S81" s="165">
        <f t="shared" si="17"/>
        <v>26299392.355913438</v>
      </c>
      <c r="T81" s="165">
        <f t="shared" si="18"/>
        <v>155743914.5722602</v>
      </c>
      <c r="U81" s="165">
        <f t="shared" si="19"/>
        <v>1464974.8986164669</v>
      </c>
      <c r="V81" s="165">
        <f t="shared" si="20"/>
        <v>295729557.49009979</v>
      </c>
      <c r="W81" s="165">
        <f t="shared" si="21"/>
        <v>4196153.6401791582</v>
      </c>
      <c r="X81" s="166">
        <f t="shared" si="12"/>
        <v>5661128.5387956249</v>
      </c>
    </row>
    <row r="82" spans="4:24">
      <c r="D82" s="9" t="s">
        <v>300</v>
      </c>
      <c r="E82" s="9" t="s">
        <v>3069</v>
      </c>
      <c r="F82" s="4" t="s">
        <v>1335</v>
      </c>
      <c r="G82" s="9" t="s">
        <v>3539</v>
      </c>
      <c r="H82" s="164">
        <v>0</v>
      </c>
      <c r="I82" s="165">
        <v>3345431.0039696363</v>
      </c>
      <c r="J82" s="165">
        <v>0</v>
      </c>
      <c r="K82" s="165">
        <v>0</v>
      </c>
      <c r="L82" s="177">
        <f t="shared" si="13"/>
        <v>0</v>
      </c>
      <c r="M82" s="166">
        <f t="shared" si="14"/>
        <v>3345431.0039696363</v>
      </c>
      <c r="N82" s="189">
        <f>INDEX('CHIRP Payment Calc'!AM:AM,MATCH(F82,'CHIRP Payment Calc'!C:C,0))</f>
        <v>0</v>
      </c>
      <c r="O82" s="189">
        <f>INDEX('CHIRP Payment Calc'!AL:AL,MATCH(FeeCalc!F82,'CHIRP Payment Calc'!C:C,0))</f>
        <v>0.44</v>
      </c>
      <c r="P82" s="164">
        <f t="shared" si="11"/>
        <v>1471989.64174664</v>
      </c>
      <c r="Q82" s="165">
        <f t="shared" si="15"/>
        <v>89803.081591970084</v>
      </c>
      <c r="R82" s="165">
        <f t="shared" si="16"/>
        <v>0</v>
      </c>
      <c r="S82" s="165">
        <f t="shared" si="17"/>
        <v>89803.081591970084</v>
      </c>
      <c r="T82" s="165">
        <f t="shared" si="18"/>
        <v>0</v>
      </c>
      <c r="U82" s="165">
        <f t="shared" si="19"/>
        <v>0</v>
      </c>
      <c r="V82" s="165">
        <f t="shared" si="20"/>
        <v>1561792.72333861</v>
      </c>
      <c r="W82" s="165">
        <f t="shared" si="21"/>
        <v>0</v>
      </c>
      <c r="X82" s="166">
        <f t="shared" si="12"/>
        <v>0</v>
      </c>
    </row>
    <row r="83" spans="4:24">
      <c r="D83" s="9" t="s">
        <v>300</v>
      </c>
      <c r="E83" s="9" t="s">
        <v>3069</v>
      </c>
      <c r="F83" s="4" t="s">
        <v>1219</v>
      </c>
      <c r="G83" s="9" t="s">
        <v>3339</v>
      </c>
      <c r="H83" s="164">
        <v>0</v>
      </c>
      <c r="I83" s="165">
        <v>1978840.3330002909</v>
      </c>
      <c r="J83" s="165">
        <v>0</v>
      </c>
      <c r="K83" s="165">
        <v>0</v>
      </c>
      <c r="L83" s="177">
        <f t="shared" si="13"/>
        <v>0</v>
      </c>
      <c r="M83" s="166">
        <f t="shared" si="14"/>
        <v>1978840.3330002909</v>
      </c>
      <c r="N83" s="189">
        <f>INDEX('CHIRP Payment Calc'!AM:AM,MATCH(F83,'CHIRP Payment Calc'!C:C,0))</f>
        <v>0</v>
      </c>
      <c r="O83" s="189">
        <f>INDEX('CHIRP Payment Calc'!AL:AL,MATCH(FeeCalc!F83,'CHIRP Payment Calc'!C:C,0))</f>
        <v>0.44</v>
      </c>
      <c r="P83" s="164">
        <f t="shared" si="11"/>
        <v>870689.74652012798</v>
      </c>
      <c r="Q83" s="165">
        <f t="shared" si="15"/>
        <v>53119.003103349991</v>
      </c>
      <c r="R83" s="165">
        <f t="shared" si="16"/>
        <v>0</v>
      </c>
      <c r="S83" s="165">
        <f t="shared" si="17"/>
        <v>53119.003103349991</v>
      </c>
      <c r="T83" s="165">
        <f t="shared" si="18"/>
        <v>0</v>
      </c>
      <c r="U83" s="165">
        <f t="shared" si="19"/>
        <v>0</v>
      </c>
      <c r="V83" s="165">
        <f t="shared" si="20"/>
        <v>923808.74962347804</v>
      </c>
      <c r="W83" s="165">
        <f t="shared" si="21"/>
        <v>0</v>
      </c>
      <c r="X83" s="166">
        <f t="shared" si="12"/>
        <v>0</v>
      </c>
    </row>
    <row r="84" spans="4:24">
      <c r="D84" s="9" t="s">
        <v>300</v>
      </c>
      <c r="E84" s="9" t="s">
        <v>3069</v>
      </c>
      <c r="F84" s="4" t="s">
        <v>1358</v>
      </c>
      <c r="G84" s="9" t="s">
        <v>3474</v>
      </c>
      <c r="H84" s="164">
        <v>0</v>
      </c>
      <c r="I84" s="165">
        <v>879998.58602819394</v>
      </c>
      <c r="J84" s="165">
        <v>0</v>
      </c>
      <c r="K84" s="165">
        <v>0</v>
      </c>
      <c r="L84" s="177">
        <f t="shared" si="13"/>
        <v>0</v>
      </c>
      <c r="M84" s="166">
        <f t="shared" si="14"/>
        <v>879998.58602819394</v>
      </c>
      <c r="N84" s="189">
        <f>INDEX('CHIRP Payment Calc'!AM:AM,MATCH(F84,'CHIRP Payment Calc'!C:C,0))</f>
        <v>0</v>
      </c>
      <c r="O84" s="189">
        <f>INDEX('CHIRP Payment Calc'!AL:AL,MATCH(FeeCalc!F84,'CHIRP Payment Calc'!C:C,0))</f>
        <v>0.44</v>
      </c>
      <c r="P84" s="164">
        <f t="shared" si="11"/>
        <v>387199.37785240536</v>
      </c>
      <c r="Q84" s="165">
        <f t="shared" si="15"/>
        <v>23622.243211154702</v>
      </c>
      <c r="R84" s="165">
        <f t="shared" si="16"/>
        <v>0</v>
      </c>
      <c r="S84" s="165">
        <f t="shared" si="17"/>
        <v>23622.243211154702</v>
      </c>
      <c r="T84" s="165">
        <f t="shared" si="18"/>
        <v>0</v>
      </c>
      <c r="U84" s="165">
        <f t="shared" si="19"/>
        <v>0</v>
      </c>
      <c r="V84" s="165">
        <f t="shared" si="20"/>
        <v>410821.62106356001</v>
      </c>
      <c r="W84" s="165">
        <f t="shared" si="21"/>
        <v>0</v>
      </c>
      <c r="X84" s="166">
        <f t="shared" si="12"/>
        <v>0</v>
      </c>
    </row>
    <row r="85" spans="4:24">
      <c r="D85" s="9" t="s">
        <v>300</v>
      </c>
      <c r="E85" s="9" t="s">
        <v>3069</v>
      </c>
      <c r="F85" s="4" t="s">
        <v>1355</v>
      </c>
      <c r="G85" s="9" t="s">
        <v>3537</v>
      </c>
      <c r="H85" s="164">
        <v>0</v>
      </c>
      <c r="I85" s="165">
        <v>3555182.7224820154</v>
      </c>
      <c r="J85" s="165">
        <v>0</v>
      </c>
      <c r="K85" s="165">
        <v>0</v>
      </c>
      <c r="L85" s="177">
        <f t="shared" si="13"/>
        <v>0</v>
      </c>
      <c r="M85" s="166">
        <f t="shared" si="14"/>
        <v>3555182.7224820154</v>
      </c>
      <c r="N85" s="189">
        <f>INDEX('CHIRP Payment Calc'!AM:AM,MATCH(F85,'CHIRP Payment Calc'!C:C,0))</f>
        <v>0</v>
      </c>
      <c r="O85" s="189">
        <f>INDEX('CHIRP Payment Calc'!AL:AL,MATCH(FeeCalc!F85,'CHIRP Payment Calc'!C:C,0))</f>
        <v>0.44</v>
      </c>
      <c r="P85" s="164">
        <f t="shared" si="11"/>
        <v>1564280.3978920868</v>
      </c>
      <c r="Q85" s="165">
        <f t="shared" si="15"/>
        <v>95433.552126042443</v>
      </c>
      <c r="R85" s="165">
        <f t="shared" si="16"/>
        <v>0</v>
      </c>
      <c r="S85" s="165">
        <f t="shared" si="17"/>
        <v>95433.552126042443</v>
      </c>
      <c r="T85" s="165">
        <f t="shared" si="18"/>
        <v>0</v>
      </c>
      <c r="U85" s="165">
        <f t="shared" si="19"/>
        <v>0</v>
      </c>
      <c r="V85" s="165">
        <f t="shared" si="20"/>
        <v>1659713.9500181293</v>
      </c>
      <c r="W85" s="165">
        <f t="shared" si="21"/>
        <v>0</v>
      </c>
      <c r="X85" s="166">
        <f t="shared" si="12"/>
        <v>0</v>
      </c>
    </row>
    <row r="86" spans="4:24">
      <c r="D86" s="9" t="s">
        <v>300</v>
      </c>
      <c r="E86" s="9" t="s">
        <v>3069</v>
      </c>
      <c r="F86" s="4" t="s">
        <v>1266</v>
      </c>
      <c r="G86" s="9" t="s">
        <v>3376</v>
      </c>
      <c r="H86" s="164">
        <v>0</v>
      </c>
      <c r="I86" s="165">
        <v>2743641.8425458106</v>
      </c>
      <c r="J86" s="165">
        <v>0</v>
      </c>
      <c r="K86" s="165">
        <v>0</v>
      </c>
      <c r="L86" s="177">
        <f t="shared" si="13"/>
        <v>0</v>
      </c>
      <c r="M86" s="166">
        <f t="shared" si="14"/>
        <v>2743641.8425458106</v>
      </c>
      <c r="N86" s="189">
        <f>INDEX('CHIRP Payment Calc'!AM:AM,MATCH(F86,'CHIRP Payment Calc'!C:C,0))</f>
        <v>0</v>
      </c>
      <c r="O86" s="189">
        <f>INDEX('CHIRP Payment Calc'!AL:AL,MATCH(FeeCalc!F86,'CHIRP Payment Calc'!C:C,0))</f>
        <v>0.44</v>
      </c>
      <c r="P86" s="164">
        <f t="shared" si="11"/>
        <v>1207202.4107201567</v>
      </c>
      <c r="Q86" s="165">
        <f t="shared" si="15"/>
        <v>73648.953439160759</v>
      </c>
      <c r="R86" s="165">
        <f t="shared" si="16"/>
        <v>0</v>
      </c>
      <c r="S86" s="165">
        <f t="shared" si="17"/>
        <v>73648.953439160759</v>
      </c>
      <c r="T86" s="165">
        <f t="shared" si="18"/>
        <v>0</v>
      </c>
      <c r="U86" s="165">
        <f t="shared" si="19"/>
        <v>0</v>
      </c>
      <c r="V86" s="165">
        <f t="shared" si="20"/>
        <v>1280851.3641593175</v>
      </c>
      <c r="W86" s="165">
        <f t="shared" si="21"/>
        <v>0</v>
      </c>
      <c r="X86" s="166">
        <f t="shared" si="12"/>
        <v>0</v>
      </c>
    </row>
    <row r="87" spans="4:24">
      <c r="D87" s="9" t="s">
        <v>300</v>
      </c>
      <c r="E87" s="9" t="s">
        <v>3069</v>
      </c>
      <c r="F87" s="4" t="s">
        <v>1232</v>
      </c>
      <c r="G87" s="9" t="s">
        <v>3334</v>
      </c>
      <c r="H87" s="164">
        <v>0</v>
      </c>
      <c r="I87" s="165">
        <v>2562109.0754308351</v>
      </c>
      <c r="J87" s="165">
        <v>0</v>
      </c>
      <c r="K87" s="165">
        <v>0</v>
      </c>
      <c r="L87" s="177">
        <f t="shared" si="13"/>
        <v>0</v>
      </c>
      <c r="M87" s="166">
        <f t="shared" si="14"/>
        <v>2562109.0754308351</v>
      </c>
      <c r="N87" s="189">
        <f>INDEX('CHIRP Payment Calc'!AM:AM,MATCH(F87,'CHIRP Payment Calc'!C:C,0))</f>
        <v>0</v>
      </c>
      <c r="O87" s="189">
        <f>INDEX('CHIRP Payment Calc'!AL:AL,MATCH(FeeCalc!F87,'CHIRP Payment Calc'!C:C,0))</f>
        <v>0.44</v>
      </c>
      <c r="P87" s="164">
        <f t="shared" si="11"/>
        <v>1127327.9931895675</v>
      </c>
      <c r="Q87" s="165">
        <f t="shared" si="15"/>
        <v>68775.978364350274</v>
      </c>
      <c r="R87" s="165">
        <f t="shared" si="16"/>
        <v>0</v>
      </c>
      <c r="S87" s="165">
        <f t="shared" si="17"/>
        <v>68775.978364350274</v>
      </c>
      <c r="T87" s="165">
        <f t="shared" si="18"/>
        <v>0</v>
      </c>
      <c r="U87" s="165">
        <f t="shared" si="19"/>
        <v>0</v>
      </c>
      <c r="V87" s="165">
        <f t="shared" si="20"/>
        <v>1196103.9715539177</v>
      </c>
      <c r="W87" s="165">
        <f t="shared" si="21"/>
        <v>0</v>
      </c>
      <c r="X87" s="166">
        <f t="shared" si="12"/>
        <v>0</v>
      </c>
    </row>
    <row r="88" spans="4:24">
      <c r="D88" s="9" t="s">
        <v>300</v>
      </c>
      <c r="E88" s="9" t="s">
        <v>3069</v>
      </c>
      <c r="F88" s="4" t="s">
        <v>1519</v>
      </c>
      <c r="G88" s="9" t="s">
        <v>3195</v>
      </c>
      <c r="H88" s="164">
        <v>0</v>
      </c>
      <c r="I88" s="165">
        <v>939647.19808996655</v>
      </c>
      <c r="J88" s="165">
        <v>0</v>
      </c>
      <c r="K88" s="165">
        <v>0</v>
      </c>
      <c r="L88" s="177">
        <f t="shared" si="13"/>
        <v>0</v>
      </c>
      <c r="M88" s="166">
        <f t="shared" si="14"/>
        <v>939647.19808996655</v>
      </c>
      <c r="N88" s="189">
        <f>INDEX('CHIRP Payment Calc'!AM:AM,MATCH(F88,'CHIRP Payment Calc'!C:C,0))</f>
        <v>0</v>
      </c>
      <c r="O88" s="189">
        <f>INDEX('CHIRP Payment Calc'!AL:AL,MATCH(FeeCalc!F88,'CHIRP Payment Calc'!C:C,0))</f>
        <v>0.44</v>
      </c>
      <c r="P88" s="164">
        <f t="shared" si="11"/>
        <v>413444.76715958526</v>
      </c>
      <c r="Q88" s="165">
        <f t="shared" si="15"/>
        <v>25223.420808144459</v>
      </c>
      <c r="R88" s="165">
        <f t="shared" si="16"/>
        <v>0</v>
      </c>
      <c r="S88" s="165">
        <f t="shared" si="17"/>
        <v>25223.420808144459</v>
      </c>
      <c r="T88" s="165">
        <f t="shared" si="18"/>
        <v>0</v>
      </c>
      <c r="U88" s="165">
        <f t="shared" si="19"/>
        <v>0</v>
      </c>
      <c r="V88" s="165">
        <f t="shared" si="20"/>
        <v>438668.1879677297</v>
      </c>
      <c r="W88" s="165">
        <f t="shared" si="21"/>
        <v>0</v>
      </c>
      <c r="X88" s="166">
        <f t="shared" si="12"/>
        <v>0</v>
      </c>
    </row>
    <row r="89" spans="4:24">
      <c r="D89" s="9" t="s">
        <v>300</v>
      </c>
      <c r="E89" s="9" t="s">
        <v>3069</v>
      </c>
      <c r="F89" s="4" t="s">
        <v>1314</v>
      </c>
      <c r="G89" s="9" t="s">
        <v>3335</v>
      </c>
      <c r="H89" s="164">
        <v>0</v>
      </c>
      <c r="I89" s="165">
        <v>3669234.8156919563</v>
      </c>
      <c r="J89" s="165">
        <v>0</v>
      </c>
      <c r="K89" s="165">
        <v>0</v>
      </c>
      <c r="L89" s="177">
        <f t="shared" si="13"/>
        <v>0</v>
      </c>
      <c r="M89" s="166">
        <f t="shared" si="14"/>
        <v>3669234.8156919563</v>
      </c>
      <c r="N89" s="189">
        <f>INDEX('CHIRP Payment Calc'!AM:AM,MATCH(F89,'CHIRP Payment Calc'!C:C,0))</f>
        <v>0</v>
      </c>
      <c r="O89" s="189">
        <f>INDEX('CHIRP Payment Calc'!AL:AL,MATCH(FeeCalc!F89,'CHIRP Payment Calc'!C:C,0))</f>
        <v>0.44</v>
      </c>
      <c r="P89" s="164">
        <f t="shared" si="11"/>
        <v>1614463.3189044609</v>
      </c>
      <c r="Q89" s="165">
        <f t="shared" si="15"/>
        <v>98495.109641386211</v>
      </c>
      <c r="R89" s="165">
        <f t="shared" si="16"/>
        <v>0</v>
      </c>
      <c r="S89" s="165">
        <f t="shared" si="17"/>
        <v>98495.109641386211</v>
      </c>
      <c r="T89" s="165">
        <f t="shared" si="18"/>
        <v>0</v>
      </c>
      <c r="U89" s="165">
        <f t="shared" si="19"/>
        <v>0</v>
      </c>
      <c r="V89" s="165">
        <f t="shared" si="20"/>
        <v>1712958.4285458471</v>
      </c>
      <c r="W89" s="165">
        <f t="shared" si="21"/>
        <v>0</v>
      </c>
      <c r="X89" s="166">
        <f t="shared" si="12"/>
        <v>0</v>
      </c>
    </row>
    <row r="90" spans="4:24">
      <c r="D90" s="9" t="s">
        <v>300</v>
      </c>
      <c r="E90" s="9" t="s">
        <v>2768</v>
      </c>
      <c r="F90" s="4" t="s">
        <v>124</v>
      </c>
      <c r="G90" s="9" t="s">
        <v>1999</v>
      </c>
      <c r="H90" s="164">
        <v>667665.69102278806</v>
      </c>
      <c r="I90" s="165">
        <v>33960.663755027694</v>
      </c>
      <c r="J90" s="165">
        <v>111594.31063323881</v>
      </c>
      <c r="K90" s="165">
        <v>107830.07010579658</v>
      </c>
      <c r="L90" s="177">
        <f t="shared" si="13"/>
        <v>779260.00165602681</v>
      </c>
      <c r="M90" s="166">
        <f t="shared" si="14"/>
        <v>141790.73386082426</v>
      </c>
      <c r="N90" s="189">
        <f>INDEX('CHIRP Payment Calc'!AM:AM,MATCH(F90,'CHIRP Payment Calc'!C:C,0))</f>
        <v>0.86</v>
      </c>
      <c r="O90" s="189">
        <f>INDEX('CHIRP Payment Calc'!AL:AL,MATCH(FeeCalc!F90,'CHIRP Payment Calc'!C:C,0))</f>
        <v>0</v>
      </c>
      <c r="P90" s="164">
        <f t="shared" si="11"/>
        <v>670163.601424183</v>
      </c>
      <c r="Q90" s="165">
        <f t="shared" si="15"/>
        <v>35030.311322097477</v>
      </c>
      <c r="R90" s="165">
        <f t="shared" si="16"/>
        <v>6125.8153496543864</v>
      </c>
      <c r="S90" s="165">
        <f t="shared" si="17"/>
        <v>41156.126671751867</v>
      </c>
      <c r="T90" s="165">
        <f t="shared" si="18"/>
        <v>609222.8056016952</v>
      </c>
      <c r="U90" s="165">
        <f t="shared" si="19"/>
        <v>102096.92249423977</v>
      </c>
      <c r="V90" s="165">
        <f t="shared" si="20"/>
        <v>0</v>
      </c>
      <c r="W90" s="165">
        <f t="shared" si="21"/>
        <v>0</v>
      </c>
      <c r="X90" s="166">
        <f t="shared" si="12"/>
        <v>102096.92249423977</v>
      </c>
    </row>
    <row r="91" spans="4:24">
      <c r="D91" s="9" t="s">
        <v>300</v>
      </c>
      <c r="E91" s="9" t="s">
        <v>2768</v>
      </c>
      <c r="F91" s="4" t="s">
        <v>1073</v>
      </c>
      <c r="G91" s="9" t="s">
        <v>3374</v>
      </c>
      <c r="H91" s="164">
        <v>526787.71702210419</v>
      </c>
      <c r="I91" s="165">
        <v>49609.385149207068</v>
      </c>
      <c r="J91" s="165">
        <v>195209.97694901619</v>
      </c>
      <c r="K91" s="165">
        <v>66868.738084447992</v>
      </c>
      <c r="L91" s="177">
        <f t="shared" si="13"/>
        <v>721997.6939711204</v>
      </c>
      <c r="M91" s="166">
        <f t="shared" si="14"/>
        <v>116478.12323365506</v>
      </c>
      <c r="N91" s="189">
        <f>INDEX('CHIRP Payment Calc'!AM:AM,MATCH(F91,'CHIRP Payment Calc'!C:C,0))</f>
        <v>0.86</v>
      </c>
      <c r="O91" s="189">
        <f>INDEX('CHIRP Payment Calc'!AL:AL,MATCH(FeeCalc!F91,'CHIRP Payment Calc'!C:C,0))</f>
        <v>0</v>
      </c>
      <c r="P91" s="164">
        <f t="shared" si="11"/>
        <v>620918.01681516354</v>
      </c>
      <c r="Q91" s="165">
        <f t="shared" si="15"/>
        <v>27638.888707419686</v>
      </c>
      <c r="R91" s="165">
        <f t="shared" si="16"/>
        <v>10715.781713371527</v>
      </c>
      <c r="S91" s="165">
        <f t="shared" si="17"/>
        <v>38354.670420791212</v>
      </c>
      <c r="T91" s="165">
        <f t="shared" si="18"/>
        <v>480676.32534642931</v>
      </c>
      <c r="U91" s="165">
        <f t="shared" si="19"/>
        <v>178596.36188952543</v>
      </c>
      <c r="V91" s="165">
        <f t="shared" si="20"/>
        <v>0</v>
      </c>
      <c r="W91" s="165">
        <f t="shared" si="21"/>
        <v>0</v>
      </c>
      <c r="X91" s="166">
        <f t="shared" si="12"/>
        <v>178596.36188952543</v>
      </c>
    </row>
    <row r="92" spans="4:24">
      <c r="D92" s="9" t="s">
        <v>300</v>
      </c>
      <c r="E92" s="9" t="s">
        <v>2768</v>
      </c>
      <c r="F92" s="4" t="s">
        <v>823</v>
      </c>
      <c r="G92" s="9" t="s">
        <v>3343</v>
      </c>
      <c r="H92" s="164">
        <v>1616977.9636998654</v>
      </c>
      <c r="I92" s="165">
        <v>1648709.2456490523</v>
      </c>
      <c r="J92" s="165">
        <v>439121.01614087675</v>
      </c>
      <c r="K92" s="165">
        <v>548484.68568309501</v>
      </c>
      <c r="L92" s="177">
        <f t="shared" si="13"/>
        <v>2056098.9798407422</v>
      </c>
      <c r="M92" s="166">
        <f t="shared" si="14"/>
        <v>2197193.9313321472</v>
      </c>
      <c r="N92" s="189">
        <f>INDEX('CHIRP Payment Calc'!AM:AM,MATCH(F92,'CHIRP Payment Calc'!C:C,0))</f>
        <v>0.86</v>
      </c>
      <c r="O92" s="189">
        <f>INDEX('CHIRP Payment Calc'!AL:AL,MATCH(FeeCalc!F92,'CHIRP Payment Calc'!C:C,0))</f>
        <v>0</v>
      </c>
      <c r="P92" s="164">
        <f t="shared" si="11"/>
        <v>1768245.1226630383</v>
      </c>
      <c r="Q92" s="165">
        <f t="shared" si="15"/>
        <v>84837.729766534059</v>
      </c>
      <c r="R92" s="165">
        <f t="shared" si="16"/>
        <v>24104.940886031109</v>
      </c>
      <c r="S92" s="165">
        <f t="shared" si="17"/>
        <v>108942.67065256517</v>
      </c>
      <c r="T92" s="165">
        <f t="shared" si="18"/>
        <v>1475438.7785484183</v>
      </c>
      <c r="U92" s="165">
        <f t="shared" si="19"/>
        <v>401749.01476718509</v>
      </c>
      <c r="V92" s="165">
        <f t="shared" si="20"/>
        <v>0</v>
      </c>
      <c r="W92" s="165">
        <f t="shared" si="21"/>
        <v>0</v>
      </c>
      <c r="X92" s="166">
        <f t="shared" si="12"/>
        <v>401749.01476718509</v>
      </c>
    </row>
    <row r="93" spans="4:24">
      <c r="D93" s="9" t="s">
        <v>300</v>
      </c>
      <c r="E93" s="9" t="s">
        <v>3388</v>
      </c>
      <c r="F93" s="4" t="s">
        <v>1615</v>
      </c>
      <c r="G93" s="9" t="s">
        <v>3543</v>
      </c>
      <c r="H93" s="164">
        <v>37704486.933278367</v>
      </c>
      <c r="I93" s="165">
        <v>49060283.940489687</v>
      </c>
      <c r="J93" s="165">
        <v>13087277.783778388</v>
      </c>
      <c r="K93" s="165">
        <v>19377165.284388017</v>
      </c>
      <c r="L93" s="177">
        <f t="shared" si="13"/>
        <v>50791764.717056751</v>
      </c>
      <c r="M93" s="166">
        <f t="shared" si="14"/>
        <v>68437449.2248777</v>
      </c>
      <c r="N93" s="189">
        <f>INDEX('CHIRP Payment Calc'!AM:AM,MATCH(F93,'CHIRP Payment Calc'!C:C,0))</f>
        <v>0.64</v>
      </c>
      <c r="O93" s="189">
        <f>INDEX('CHIRP Payment Calc'!AL:AL,MATCH(FeeCalc!F93,'CHIRP Payment Calc'!C:C,0))</f>
        <v>0.33</v>
      </c>
      <c r="P93" s="164">
        <f t="shared" si="11"/>
        <v>55091087.663125962</v>
      </c>
      <c r="Q93" s="165">
        <f t="shared" si="15"/>
        <v>2459887.540493831</v>
      </c>
      <c r="R93" s="165">
        <f t="shared" si="16"/>
        <v>942786.53141273709</v>
      </c>
      <c r="S93" s="165">
        <f t="shared" si="17"/>
        <v>3402674.071906568</v>
      </c>
      <c r="T93" s="165">
        <f t="shared" si="18"/>
        <v>25603046.830024567</v>
      </c>
      <c r="U93" s="165">
        <f t="shared" si="19"/>
        <v>8910487.0017214566</v>
      </c>
      <c r="V93" s="165">
        <f t="shared" si="20"/>
        <v>17177606.048129018</v>
      </c>
      <c r="W93" s="165">
        <f t="shared" si="21"/>
        <v>6802621.8551574955</v>
      </c>
      <c r="X93" s="166">
        <f t="shared" si="12"/>
        <v>15713108.856878951</v>
      </c>
    </row>
    <row r="94" spans="4:24">
      <c r="D94" s="9" t="s">
        <v>300</v>
      </c>
      <c r="E94" s="9" t="s">
        <v>2718</v>
      </c>
      <c r="F94" s="4" t="s">
        <v>573</v>
      </c>
      <c r="G94" s="9" t="s">
        <v>3144</v>
      </c>
      <c r="H94" s="164">
        <v>3176600.6355153876</v>
      </c>
      <c r="I94" s="165">
        <v>21238640.423323411</v>
      </c>
      <c r="J94" s="165">
        <v>106345.47444085387</v>
      </c>
      <c r="K94" s="165">
        <v>76372.011434474975</v>
      </c>
      <c r="L94" s="177">
        <f t="shared" si="13"/>
        <v>3282946.1099562417</v>
      </c>
      <c r="M94" s="166">
        <f t="shared" si="14"/>
        <v>21315012.434757888</v>
      </c>
      <c r="N94" s="189">
        <f>INDEX('CHIRP Payment Calc'!AM:AM,MATCH(F94,'CHIRP Payment Calc'!C:C,0))</f>
        <v>1.1000000000000001</v>
      </c>
      <c r="O94" s="189">
        <f>INDEX('CHIRP Payment Calc'!AL:AL,MATCH(FeeCalc!F94,'CHIRP Payment Calc'!C:C,0))</f>
        <v>2.59</v>
      </c>
      <c r="P94" s="164">
        <f t="shared" si="11"/>
        <v>58817122.926974788</v>
      </c>
      <c r="Q94" s="165">
        <f t="shared" si="15"/>
        <v>3569108.2389812069</v>
      </c>
      <c r="R94" s="165">
        <f t="shared" si="16"/>
        <v>20092.56584044018</v>
      </c>
      <c r="S94" s="165">
        <f t="shared" si="17"/>
        <v>3589200.8048216472</v>
      </c>
      <c r="T94" s="165">
        <f t="shared" si="18"/>
        <v>3707438.4074980654</v>
      </c>
      <c r="U94" s="165">
        <f t="shared" si="19"/>
        <v>124446.83179248859</v>
      </c>
      <c r="V94" s="165">
        <f t="shared" si="20"/>
        <v>58364009.226957701</v>
      </c>
      <c r="W94" s="165">
        <f t="shared" si="21"/>
        <v>210429.26554818105</v>
      </c>
      <c r="X94" s="166">
        <f t="shared" si="12"/>
        <v>334876.09734066966</v>
      </c>
    </row>
    <row r="95" spans="4:24">
      <c r="D95" s="9" t="s">
        <v>300</v>
      </c>
      <c r="E95" s="9" t="s">
        <v>2718</v>
      </c>
      <c r="F95" s="4" t="s">
        <v>1477</v>
      </c>
      <c r="G95" s="9" t="s">
        <v>3552</v>
      </c>
      <c r="H95" s="164">
        <v>186439.72151505417</v>
      </c>
      <c r="I95" s="165">
        <v>0</v>
      </c>
      <c r="J95" s="165">
        <v>125905.39067943135</v>
      </c>
      <c r="K95" s="165">
        <v>0</v>
      </c>
      <c r="L95" s="177">
        <f t="shared" si="13"/>
        <v>312345.1121944855</v>
      </c>
      <c r="M95" s="166">
        <f t="shared" si="14"/>
        <v>0</v>
      </c>
      <c r="N95" s="189">
        <f>INDEX('CHIRP Payment Calc'!AM:AM,MATCH(F95,'CHIRP Payment Calc'!C:C,0))</f>
        <v>0.85</v>
      </c>
      <c r="O95" s="189">
        <f>INDEX('CHIRP Payment Calc'!AL:AL,MATCH(FeeCalc!F95,'CHIRP Payment Calc'!C:C,0))</f>
        <v>2.59</v>
      </c>
      <c r="P95" s="164">
        <f t="shared" si="11"/>
        <v>265493.34536531265</v>
      </c>
      <c r="Q95" s="165">
        <f t="shared" si="15"/>
        <v>9668.1606249849046</v>
      </c>
      <c r="R95" s="165">
        <f t="shared" si="16"/>
        <v>6831.0371538840418</v>
      </c>
      <c r="S95" s="165">
        <f t="shared" si="17"/>
        <v>16499.197778868947</v>
      </c>
      <c r="T95" s="165">
        <f t="shared" si="18"/>
        <v>168141.92391278094</v>
      </c>
      <c r="U95" s="165">
        <f t="shared" si="19"/>
        <v>113850.61923140069</v>
      </c>
      <c r="V95" s="165">
        <f t="shared" si="20"/>
        <v>0</v>
      </c>
      <c r="W95" s="165">
        <f t="shared" si="21"/>
        <v>0</v>
      </c>
      <c r="X95" s="166">
        <f t="shared" si="12"/>
        <v>113850.61923140069</v>
      </c>
    </row>
    <row r="96" spans="4:24">
      <c r="D96" s="9" t="s">
        <v>300</v>
      </c>
      <c r="E96" s="9" t="s">
        <v>2718</v>
      </c>
      <c r="F96" s="4" t="s">
        <v>561</v>
      </c>
      <c r="G96" s="9" t="s">
        <v>3112</v>
      </c>
      <c r="H96" s="164">
        <v>7493515.0539595857</v>
      </c>
      <c r="I96" s="165">
        <v>12654391.585213305</v>
      </c>
      <c r="J96" s="165">
        <v>972424.44926704373</v>
      </c>
      <c r="K96" s="165">
        <v>4812104.1702287085</v>
      </c>
      <c r="L96" s="177">
        <f t="shared" si="13"/>
        <v>8465939.5032266304</v>
      </c>
      <c r="M96" s="166">
        <f t="shared" si="14"/>
        <v>17466495.755442016</v>
      </c>
      <c r="N96" s="189">
        <f>INDEX('CHIRP Payment Calc'!AM:AM,MATCH(F96,'CHIRP Payment Calc'!C:C,0))</f>
        <v>0.85</v>
      </c>
      <c r="O96" s="189">
        <f>INDEX('CHIRP Payment Calc'!AL:AL,MATCH(FeeCalc!F96,'CHIRP Payment Calc'!C:C,0))</f>
        <v>2.59</v>
      </c>
      <c r="P96" s="164">
        <f t="shared" si="11"/>
        <v>52434272.584337458</v>
      </c>
      <c r="Q96" s="165">
        <f t="shared" si="15"/>
        <v>2388117.5756924842</v>
      </c>
      <c r="R96" s="165">
        <f t="shared" si="16"/>
        <v>848292.1648576177</v>
      </c>
      <c r="S96" s="165">
        <f t="shared" si="17"/>
        <v>3236409.7405501017</v>
      </c>
      <c r="T96" s="165">
        <f t="shared" si="18"/>
        <v>6758077.2369927298</v>
      </c>
      <c r="U96" s="165">
        <f t="shared" si="19"/>
        <v>879319.98072019918</v>
      </c>
      <c r="V96" s="165">
        <f t="shared" si="20"/>
        <v>34774402.340267859</v>
      </c>
      <c r="W96" s="165">
        <f t="shared" si="21"/>
        <v>13258882.766906761</v>
      </c>
      <c r="X96" s="166">
        <f t="shared" si="12"/>
        <v>14138202.74762696</v>
      </c>
    </row>
    <row r="97" spans="4:24">
      <c r="D97" s="9" t="s">
        <v>300</v>
      </c>
      <c r="E97" s="9" t="s">
        <v>2718</v>
      </c>
      <c r="F97" s="4" t="s">
        <v>187</v>
      </c>
      <c r="G97" s="9" t="s">
        <v>3115</v>
      </c>
      <c r="H97" s="164">
        <v>268171.53709009627</v>
      </c>
      <c r="I97" s="165">
        <v>900879.31132767093</v>
      </c>
      <c r="J97" s="165">
        <v>607882.70048080466</v>
      </c>
      <c r="K97" s="165">
        <v>1813367.2294820191</v>
      </c>
      <c r="L97" s="177">
        <f t="shared" si="13"/>
        <v>876054.23757090094</v>
      </c>
      <c r="M97" s="166">
        <f t="shared" si="14"/>
        <v>2714246.54080969</v>
      </c>
      <c r="N97" s="189">
        <f>INDEX('CHIRP Payment Calc'!AM:AM,MATCH(F97,'CHIRP Payment Calc'!C:C,0))</f>
        <v>1.52</v>
      </c>
      <c r="O97" s="189">
        <f>INDEX('CHIRP Payment Calc'!AL:AL,MATCH(FeeCalc!F97,'CHIRP Payment Calc'!C:C,0))</f>
        <v>2.59</v>
      </c>
      <c r="P97" s="164">
        <f t="shared" si="11"/>
        <v>8361500.9818048663</v>
      </c>
      <c r="Q97" s="165">
        <f t="shared" si="15"/>
        <v>167216.59817628417</v>
      </c>
      <c r="R97" s="165">
        <f t="shared" si="16"/>
        <v>358761.88270782464</v>
      </c>
      <c r="S97" s="165">
        <f t="shared" si="17"/>
        <v>525978.48088410881</v>
      </c>
      <c r="T97" s="165">
        <f t="shared" si="18"/>
        <v>432488.84496227728</v>
      </c>
      <c r="U97" s="165">
        <f t="shared" si="19"/>
        <v>982959.26035193959</v>
      </c>
      <c r="V97" s="165">
        <f t="shared" si="20"/>
        <v>2475625.9059296208</v>
      </c>
      <c r="W97" s="165">
        <f t="shared" si="21"/>
        <v>4996405.4514451381</v>
      </c>
      <c r="X97" s="166">
        <f t="shared" si="12"/>
        <v>5979364.7117970772</v>
      </c>
    </row>
    <row r="98" spans="4:24">
      <c r="D98" s="9" t="s">
        <v>300</v>
      </c>
      <c r="E98" s="9" t="s">
        <v>2718</v>
      </c>
      <c r="F98" s="4" t="s">
        <v>262</v>
      </c>
      <c r="G98" s="9" t="s">
        <v>3327</v>
      </c>
      <c r="H98" s="164">
        <v>3490604.0954625285</v>
      </c>
      <c r="I98" s="165">
        <v>3842050.0177744762</v>
      </c>
      <c r="J98" s="165">
        <v>256715.54634209184</v>
      </c>
      <c r="K98" s="165">
        <v>373277.59158985969</v>
      </c>
      <c r="L98" s="177">
        <f t="shared" si="13"/>
        <v>3747319.6418046202</v>
      </c>
      <c r="M98" s="166">
        <f t="shared" si="14"/>
        <v>4215327.6093643364</v>
      </c>
      <c r="N98" s="189">
        <f>INDEX('CHIRP Payment Calc'!AM:AM,MATCH(F98,'CHIRP Payment Calc'!C:C,0))</f>
        <v>1.17</v>
      </c>
      <c r="O98" s="189">
        <f>INDEX('CHIRP Payment Calc'!AL:AL,MATCH(FeeCalc!F98,'CHIRP Payment Calc'!C:C,0))</f>
        <v>2.59</v>
      </c>
      <c r="P98" s="164">
        <f t="shared" si="11"/>
        <v>15302062.489165036</v>
      </c>
      <c r="Q98" s="165">
        <f t="shared" si="15"/>
        <v>856241.58028573531</v>
      </c>
      <c r="R98" s="165">
        <f t="shared" si="16"/>
        <v>80881.669240722404</v>
      </c>
      <c r="S98" s="165">
        <f t="shared" si="17"/>
        <v>937123.24952645774</v>
      </c>
      <c r="T98" s="165">
        <f t="shared" si="18"/>
        <v>4333163.7047121041</v>
      </c>
      <c r="U98" s="165">
        <f t="shared" si="19"/>
        <v>319528.92470239091</v>
      </c>
      <c r="V98" s="165">
        <f t="shared" si="20"/>
        <v>10557994.213300683</v>
      </c>
      <c r="W98" s="165">
        <f t="shared" si="21"/>
        <v>1028498.8959763156</v>
      </c>
      <c r="X98" s="166">
        <f t="shared" si="12"/>
        <v>1348027.8206787065</v>
      </c>
    </row>
    <row r="99" spans="4:24">
      <c r="D99" s="9" t="s">
        <v>300</v>
      </c>
      <c r="E99" s="9" t="s">
        <v>2718</v>
      </c>
      <c r="F99" s="4" t="s">
        <v>951</v>
      </c>
      <c r="G99" s="9" t="s">
        <v>3117</v>
      </c>
      <c r="H99" s="164">
        <v>1263730.5909582258</v>
      </c>
      <c r="I99" s="165">
        <v>64319.324571829638</v>
      </c>
      <c r="J99" s="165">
        <v>110680.74494977492</v>
      </c>
      <c r="K99" s="165">
        <v>176763.77219750339</v>
      </c>
      <c r="L99" s="177">
        <f t="shared" si="13"/>
        <v>1374411.3359080006</v>
      </c>
      <c r="M99" s="166">
        <f t="shared" si="14"/>
        <v>241083.09676933303</v>
      </c>
      <c r="N99" s="189">
        <f>INDEX('CHIRP Payment Calc'!AM:AM,MATCH(F99,'CHIRP Payment Calc'!C:C,0))</f>
        <v>0.85</v>
      </c>
      <c r="O99" s="189">
        <f>INDEX('CHIRP Payment Calc'!AL:AL,MATCH(FeeCalc!F99,'CHIRP Payment Calc'!C:C,0))</f>
        <v>2.59</v>
      </c>
      <c r="P99" s="164">
        <f t="shared" si="11"/>
        <v>1792654.8561543729</v>
      </c>
      <c r="Q99" s="165">
        <f t="shared" si="15"/>
        <v>75696.114636544313</v>
      </c>
      <c r="R99" s="165">
        <f t="shared" si="16"/>
        <v>35227.455523330369</v>
      </c>
      <c r="S99" s="165">
        <f t="shared" si="17"/>
        <v>110923.57015987468</v>
      </c>
      <c r="T99" s="165">
        <f t="shared" si="18"/>
        <v>1139703.9812355351</v>
      </c>
      <c r="U99" s="165">
        <f t="shared" si="19"/>
        <v>100083.65234820073</v>
      </c>
      <c r="V99" s="165">
        <f t="shared" si="20"/>
        <v>176750.18635653978</v>
      </c>
      <c r="W99" s="165">
        <f t="shared" si="21"/>
        <v>487040.60637397208</v>
      </c>
      <c r="X99" s="166">
        <f t="shared" si="12"/>
        <v>587124.25872217282</v>
      </c>
    </row>
    <row r="100" spans="4:24">
      <c r="D100" s="9" t="s">
        <v>300</v>
      </c>
      <c r="E100" s="9" t="s">
        <v>2718</v>
      </c>
      <c r="F100" s="4" t="s">
        <v>1714</v>
      </c>
      <c r="G100" s="9" t="s">
        <v>2557</v>
      </c>
      <c r="H100" s="164">
        <v>850402.76891004667</v>
      </c>
      <c r="I100" s="165">
        <v>5353357.7726420648</v>
      </c>
      <c r="J100" s="165">
        <v>1097084.2942856639</v>
      </c>
      <c r="K100" s="165">
        <v>4025882.0766293714</v>
      </c>
      <c r="L100" s="177">
        <f t="shared" si="13"/>
        <v>1947487.0631957105</v>
      </c>
      <c r="M100" s="166">
        <f t="shared" si="14"/>
        <v>9379239.8492714353</v>
      </c>
      <c r="N100" s="189">
        <f>INDEX('CHIRP Payment Calc'!AM:AM,MATCH(F100,'CHIRP Payment Calc'!C:C,0))</f>
        <v>1.83</v>
      </c>
      <c r="O100" s="189">
        <f>INDEX('CHIRP Payment Calc'!AL:AL,MATCH(FeeCalc!F100,'CHIRP Payment Calc'!C:C,0))</f>
        <v>2.59</v>
      </c>
      <c r="P100" s="164">
        <f t="shared" si="11"/>
        <v>27856132.535261169</v>
      </c>
      <c r="Q100" s="165">
        <f t="shared" si="15"/>
        <v>940830.17257217946</v>
      </c>
      <c r="R100" s="165">
        <f t="shared" si="16"/>
        <v>793704.1810859259</v>
      </c>
      <c r="S100" s="165">
        <f t="shared" si="17"/>
        <v>1734534.3536581052</v>
      </c>
      <c r="T100" s="165">
        <f t="shared" si="18"/>
        <v>1651179.9120481543</v>
      </c>
      <c r="U100" s="165">
        <f t="shared" si="19"/>
        <v>2135813.0410029413</v>
      </c>
      <c r="V100" s="165">
        <f t="shared" si="20"/>
        <v>14711083.958772358</v>
      </c>
      <c r="W100" s="165">
        <f t="shared" si="21"/>
        <v>11092589.977095822</v>
      </c>
      <c r="X100" s="166">
        <f t="shared" si="12"/>
        <v>13228403.018098764</v>
      </c>
    </row>
    <row r="101" spans="4:24">
      <c r="D101" s="9" t="s">
        <v>300</v>
      </c>
      <c r="E101" s="9" t="s">
        <v>2718</v>
      </c>
      <c r="F101" s="4" t="s">
        <v>558</v>
      </c>
      <c r="G101" s="9" t="s">
        <v>3114</v>
      </c>
      <c r="H101" s="164">
        <v>10941691.663428407</v>
      </c>
      <c r="I101" s="165">
        <v>6021013.9527046103</v>
      </c>
      <c r="J101" s="165">
        <v>1001273.295054505</v>
      </c>
      <c r="K101" s="165">
        <v>3568068.6077311076</v>
      </c>
      <c r="L101" s="177">
        <f t="shared" si="13"/>
        <v>11942964.958482912</v>
      </c>
      <c r="M101" s="166">
        <f t="shared" si="14"/>
        <v>9589082.5604357179</v>
      </c>
      <c r="N101" s="189">
        <f>INDEX('CHIRP Payment Calc'!AM:AM,MATCH(F101,'CHIRP Payment Calc'!C:C,0))</f>
        <v>0.85</v>
      </c>
      <c r="O101" s="189">
        <f>INDEX('CHIRP Payment Calc'!AL:AL,MATCH(FeeCalc!F101,'CHIRP Payment Calc'!C:C,0))</f>
        <v>2.59</v>
      </c>
      <c r="P101" s="164">
        <f t="shared" si="11"/>
        <v>34987244.046238981</v>
      </c>
      <c r="Q101" s="165">
        <f t="shared" si="15"/>
        <v>1518784.8095030212</v>
      </c>
      <c r="R101" s="165">
        <f t="shared" si="16"/>
        <v>644194.46775446169</v>
      </c>
      <c r="S101" s="165">
        <f t="shared" si="17"/>
        <v>2162979.277257483</v>
      </c>
      <c r="T101" s="165">
        <f t="shared" si="18"/>
        <v>9867838.6354526747</v>
      </c>
      <c r="U101" s="165">
        <f t="shared" si="19"/>
        <v>905406.7029748183</v>
      </c>
      <c r="V101" s="165">
        <f t="shared" si="20"/>
        <v>16545810.225469431</v>
      </c>
      <c r="W101" s="165">
        <f t="shared" si="21"/>
        <v>9831167.7595995422</v>
      </c>
      <c r="X101" s="166">
        <f t="shared" si="12"/>
        <v>10736574.462574361</v>
      </c>
    </row>
    <row r="102" spans="4:24">
      <c r="D102" s="9" t="s">
        <v>300</v>
      </c>
      <c r="E102" s="9" t="s">
        <v>2718</v>
      </c>
      <c r="F102" s="4" t="s">
        <v>259</v>
      </c>
      <c r="G102" s="9" t="s">
        <v>3330</v>
      </c>
      <c r="H102" s="164">
        <v>998548.32903834095</v>
      </c>
      <c r="I102" s="165">
        <v>394060.28037278639</v>
      </c>
      <c r="J102" s="165">
        <v>131525.56384169305</v>
      </c>
      <c r="K102" s="165">
        <v>535971.82348974352</v>
      </c>
      <c r="L102" s="177">
        <f t="shared" si="13"/>
        <v>1130073.8928800339</v>
      </c>
      <c r="M102" s="166">
        <f t="shared" si="14"/>
        <v>930032.10386252985</v>
      </c>
      <c r="N102" s="189">
        <f>INDEX('CHIRP Payment Calc'!AM:AM,MATCH(F102,'CHIRP Payment Calc'!C:C,0))</f>
        <v>1.33</v>
      </c>
      <c r="O102" s="189">
        <f>INDEX('CHIRP Payment Calc'!AL:AL,MATCH(FeeCalc!F102,'CHIRP Payment Calc'!C:C,0))</f>
        <v>2.59</v>
      </c>
      <c r="P102" s="164">
        <f t="shared" si="11"/>
        <v>3911781.4265343975</v>
      </c>
      <c r="Q102" s="165">
        <f t="shared" si="15"/>
        <v>143288.49943525132</v>
      </c>
      <c r="R102" s="165">
        <f t="shared" si="16"/>
        <v>99772.086558375784</v>
      </c>
      <c r="S102" s="165">
        <f t="shared" si="17"/>
        <v>243060.58599362709</v>
      </c>
      <c r="T102" s="165">
        <f t="shared" si="18"/>
        <v>1409092.0717464124</v>
      </c>
      <c r="U102" s="165">
        <f t="shared" si="19"/>
        <v>186094.68075473592</v>
      </c>
      <c r="V102" s="165">
        <f t="shared" si="20"/>
        <v>1082881.8314753494</v>
      </c>
      <c r="W102" s="165">
        <f t="shared" si="21"/>
        <v>1476773.4285515272</v>
      </c>
      <c r="X102" s="166">
        <f t="shared" si="12"/>
        <v>1662868.109306263</v>
      </c>
    </row>
    <row r="103" spans="4:24">
      <c r="D103" s="9" t="s">
        <v>300</v>
      </c>
      <c r="E103" s="9" t="s">
        <v>2718</v>
      </c>
      <c r="F103" s="4" t="s">
        <v>1042</v>
      </c>
      <c r="G103" s="9" t="s">
        <v>3502</v>
      </c>
      <c r="H103" s="164">
        <v>2437090.7543624165</v>
      </c>
      <c r="I103" s="165">
        <v>2286264.7680448638</v>
      </c>
      <c r="J103" s="165">
        <v>5269851.1358528305</v>
      </c>
      <c r="K103" s="165">
        <v>11149603.84644804</v>
      </c>
      <c r="L103" s="177">
        <f t="shared" si="13"/>
        <v>7706941.8902152469</v>
      </c>
      <c r="M103" s="166">
        <f t="shared" si="14"/>
        <v>13435868.614492904</v>
      </c>
      <c r="N103" s="189">
        <f>INDEX('CHIRP Payment Calc'!AM:AM,MATCH(F103,'CHIRP Payment Calc'!C:C,0))</f>
        <v>1.1299999999999999</v>
      </c>
      <c r="O103" s="189">
        <f>INDEX('CHIRP Payment Calc'!AL:AL,MATCH(FeeCalc!F103,'CHIRP Payment Calc'!C:C,0))</f>
        <v>2.59</v>
      </c>
      <c r="P103" s="164">
        <f t="shared" si="11"/>
        <v>43507744.047479853</v>
      </c>
      <c r="Q103" s="165">
        <f t="shared" si="15"/>
        <v>529264.67092390382</v>
      </c>
      <c r="R103" s="165">
        <f t="shared" si="16"/>
        <v>2223345.0476051569</v>
      </c>
      <c r="S103" s="165">
        <f t="shared" si="17"/>
        <v>2752609.7185290605</v>
      </c>
      <c r="T103" s="165">
        <f t="shared" si="18"/>
        <v>2921923.1325512258</v>
      </c>
      <c r="U103" s="165">
        <f t="shared" si="19"/>
        <v>6335033.8122486155</v>
      </c>
      <c r="V103" s="165">
        <f t="shared" si="20"/>
        <v>6282679.8400384057</v>
      </c>
      <c r="W103" s="165">
        <f t="shared" si="21"/>
        <v>30720716.981170665</v>
      </c>
      <c r="X103" s="166">
        <f t="shared" si="12"/>
        <v>37055750.793419279</v>
      </c>
    </row>
    <row r="104" spans="4:24">
      <c r="D104" s="9" t="s">
        <v>300</v>
      </c>
      <c r="E104" s="9" t="s">
        <v>2718</v>
      </c>
      <c r="F104" s="4" t="s">
        <v>417</v>
      </c>
      <c r="G104" s="9" t="s">
        <v>3517</v>
      </c>
      <c r="H104" s="164">
        <v>288126.00655707117</v>
      </c>
      <c r="I104" s="165">
        <v>14861.50271031464</v>
      </c>
      <c r="J104" s="165">
        <v>147595.63458837458</v>
      </c>
      <c r="K104" s="165">
        <v>48153.977722577743</v>
      </c>
      <c r="L104" s="177">
        <f t="shared" si="13"/>
        <v>435721.64114544576</v>
      </c>
      <c r="M104" s="166">
        <f t="shared" si="14"/>
        <v>63015.480432892386</v>
      </c>
      <c r="N104" s="189">
        <f>INDEX('CHIRP Payment Calc'!AM:AM,MATCH(F104,'CHIRP Payment Calc'!C:C,0))</f>
        <v>1.44</v>
      </c>
      <c r="O104" s="189">
        <f>INDEX('CHIRP Payment Calc'!AL:AL,MATCH(FeeCalc!F104,'CHIRP Payment Calc'!C:C,0))</f>
        <v>2.59</v>
      </c>
      <c r="P104" s="164">
        <f t="shared" si="11"/>
        <v>790649.2575706332</v>
      </c>
      <c r="Q104" s="165">
        <f t="shared" si="15"/>
        <v>27660.565128975173</v>
      </c>
      <c r="R104" s="165">
        <f t="shared" si="16"/>
        <v>21527.011666515053</v>
      </c>
      <c r="S104" s="165">
        <f t="shared" si="17"/>
        <v>49187.576795490226</v>
      </c>
      <c r="T104" s="165">
        <f t="shared" si="18"/>
        <v>440213.73946120153</v>
      </c>
      <c r="U104" s="165">
        <f t="shared" si="19"/>
        <v>226103.95085878661</v>
      </c>
      <c r="V104" s="165">
        <f t="shared" si="20"/>
        <v>40839.567129670999</v>
      </c>
      <c r="W104" s="165">
        <f t="shared" si="21"/>
        <v>132679.5769164642</v>
      </c>
      <c r="X104" s="166">
        <f t="shared" si="12"/>
        <v>358783.52777525084</v>
      </c>
    </row>
    <row r="105" spans="4:24">
      <c r="D105" s="9" t="s">
        <v>300</v>
      </c>
      <c r="E105" s="9" t="s">
        <v>2718</v>
      </c>
      <c r="F105" s="4" t="s">
        <v>739</v>
      </c>
      <c r="G105" s="9" t="s">
        <v>2864</v>
      </c>
      <c r="H105" s="164">
        <v>5131457.1412800839</v>
      </c>
      <c r="I105" s="165">
        <v>7116365.2540364536</v>
      </c>
      <c r="J105" s="165">
        <v>5107172.9477552148</v>
      </c>
      <c r="K105" s="165">
        <v>7846870.7214214318</v>
      </c>
      <c r="L105" s="177">
        <f t="shared" si="13"/>
        <v>10238630.089035299</v>
      </c>
      <c r="M105" s="166">
        <f t="shared" si="14"/>
        <v>14963235.975457884</v>
      </c>
      <c r="N105" s="189">
        <f>INDEX('CHIRP Payment Calc'!AM:AM,MATCH(F105,'CHIRP Payment Calc'!C:C,0))</f>
        <v>0.85</v>
      </c>
      <c r="O105" s="189">
        <f>INDEX('CHIRP Payment Calc'!AL:AL,MATCH(FeeCalc!F105,'CHIRP Payment Calc'!C:C,0))</f>
        <v>2.59</v>
      </c>
      <c r="P105" s="164">
        <f t="shared" si="11"/>
        <v>47457616.75211592</v>
      </c>
      <c r="Q105" s="165">
        <f t="shared" si="15"/>
        <v>1390561.9769097536</v>
      </c>
      <c r="R105" s="165">
        <f t="shared" si="16"/>
        <v>1574329.2877068156</v>
      </c>
      <c r="S105" s="165">
        <f t="shared" si="17"/>
        <v>2964891.2646165695</v>
      </c>
      <c r="T105" s="165">
        <f t="shared" si="18"/>
        <v>4627839.3316584313</v>
      </c>
      <c r="U105" s="165">
        <f t="shared" si="19"/>
        <v>4618188.3038212052</v>
      </c>
      <c r="V105" s="165">
        <f t="shared" si="20"/>
        <v>19555847.223293807</v>
      </c>
      <c r="W105" s="165">
        <f t="shared" si="21"/>
        <v>21620633.157959051</v>
      </c>
      <c r="X105" s="166">
        <f t="shared" si="12"/>
        <v>26238821.461780258</v>
      </c>
    </row>
    <row r="106" spans="4:24">
      <c r="D106" s="9" t="s">
        <v>300</v>
      </c>
      <c r="E106" s="9" t="s">
        <v>2718</v>
      </c>
      <c r="F106" s="4" t="s">
        <v>570</v>
      </c>
      <c r="G106" s="9" t="s">
        <v>3120</v>
      </c>
      <c r="H106" s="164">
        <v>3536334.7312615411</v>
      </c>
      <c r="I106" s="165">
        <v>2335402.2986811148</v>
      </c>
      <c r="J106" s="165">
        <v>540121.29463805596</v>
      </c>
      <c r="K106" s="165">
        <v>2513516.6136783869</v>
      </c>
      <c r="L106" s="177">
        <f t="shared" si="13"/>
        <v>4076456.025899597</v>
      </c>
      <c r="M106" s="166">
        <f t="shared" si="14"/>
        <v>4848918.9123595022</v>
      </c>
      <c r="N106" s="189">
        <f>INDEX('CHIRP Payment Calc'!AM:AM,MATCH(F106,'CHIRP Payment Calc'!C:C,0))</f>
        <v>0.85</v>
      </c>
      <c r="O106" s="189">
        <f>INDEX('CHIRP Payment Calc'!AL:AL,MATCH(FeeCalc!F106,'CHIRP Payment Calc'!C:C,0))</f>
        <v>2.59</v>
      </c>
      <c r="P106" s="164">
        <f t="shared" si="11"/>
        <v>16023687.605025766</v>
      </c>
      <c r="Q106" s="165">
        <f t="shared" si="15"/>
        <v>552401.21731723379</v>
      </c>
      <c r="R106" s="165">
        <f t="shared" si="16"/>
        <v>444836.88062995981</v>
      </c>
      <c r="S106" s="165">
        <f t="shared" si="17"/>
        <v>997238.09794719354</v>
      </c>
      <c r="T106" s="165">
        <f t="shared" si="18"/>
        <v>3189267.3968936978</v>
      </c>
      <c r="U106" s="165">
        <f t="shared" si="19"/>
        <v>488407.55366207188</v>
      </c>
      <c r="V106" s="165">
        <f t="shared" si="20"/>
        <v>6417710.2955799326</v>
      </c>
      <c r="W106" s="165">
        <f t="shared" si="21"/>
        <v>6925540.4568372574</v>
      </c>
      <c r="X106" s="166">
        <f t="shared" si="12"/>
        <v>7413948.0104993293</v>
      </c>
    </row>
    <row r="107" spans="4:24">
      <c r="D107" s="9" t="s">
        <v>300</v>
      </c>
      <c r="E107" s="9" t="s">
        <v>2718</v>
      </c>
      <c r="F107" s="4" t="s">
        <v>247</v>
      </c>
      <c r="G107" s="9" t="s">
        <v>3550</v>
      </c>
      <c r="H107" s="164">
        <v>3542579.5613039872</v>
      </c>
      <c r="I107" s="165">
        <v>3303287.9026294644</v>
      </c>
      <c r="J107" s="165">
        <v>1106187.6318720181</v>
      </c>
      <c r="K107" s="165">
        <v>1759022.8751139932</v>
      </c>
      <c r="L107" s="177">
        <f t="shared" si="13"/>
        <v>4648767.193176005</v>
      </c>
      <c r="M107" s="166">
        <f t="shared" si="14"/>
        <v>5062310.7777434578</v>
      </c>
      <c r="N107" s="189">
        <f>INDEX('CHIRP Payment Calc'!AM:AM,MATCH(F107,'CHIRP Payment Calc'!C:C,0))</f>
        <v>1.27</v>
      </c>
      <c r="O107" s="189">
        <f>INDEX('CHIRP Payment Calc'!AL:AL,MATCH(FeeCalc!F107,'CHIRP Payment Calc'!C:C,0))</f>
        <v>2.59</v>
      </c>
      <c r="P107" s="164">
        <f t="shared" si="11"/>
        <v>19015319.24968908</v>
      </c>
      <c r="Q107" s="165">
        <f t="shared" si="15"/>
        <v>796433.97704330669</v>
      </c>
      <c r="R107" s="165">
        <f t="shared" si="16"/>
        <v>380471.9705759174</v>
      </c>
      <c r="S107" s="165">
        <f t="shared" si="17"/>
        <v>1176905.947619224</v>
      </c>
      <c r="T107" s="165">
        <f t="shared" si="18"/>
        <v>4773555.4831364071</v>
      </c>
      <c r="U107" s="165">
        <f t="shared" si="19"/>
        <v>1494530.0983802797</v>
      </c>
      <c r="V107" s="165">
        <f t="shared" si="20"/>
        <v>9077470.2045732755</v>
      </c>
      <c r="W107" s="165">
        <f t="shared" si="21"/>
        <v>4846669.4112183433</v>
      </c>
      <c r="X107" s="166">
        <f t="shared" si="12"/>
        <v>6341199.509598623</v>
      </c>
    </row>
    <row r="108" spans="4:24">
      <c r="D108" s="9" t="s">
        <v>300</v>
      </c>
      <c r="E108" s="9" t="s">
        <v>2718</v>
      </c>
      <c r="F108" s="4" t="s">
        <v>244</v>
      </c>
      <c r="G108" s="9" t="s">
        <v>3317</v>
      </c>
      <c r="H108" s="164">
        <v>4329295.5165296458</v>
      </c>
      <c r="I108" s="165">
        <v>3289245.1891544024</v>
      </c>
      <c r="J108" s="165">
        <v>2293384.6297999276</v>
      </c>
      <c r="K108" s="165">
        <v>4543524.7772566434</v>
      </c>
      <c r="L108" s="177">
        <f t="shared" si="13"/>
        <v>6622680.1463295734</v>
      </c>
      <c r="M108" s="166">
        <f t="shared" si="14"/>
        <v>7832769.9664110458</v>
      </c>
      <c r="N108" s="189">
        <f>INDEX('CHIRP Payment Calc'!AM:AM,MATCH(F108,'CHIRP Payment Calc'!C:C,0))</f>
        <v>1.47</v>
      </c>
      <c r="O108" s="189">
        <f>INDEX('CHIRP Payment Calc'!AL:AL,MATCH(FeeCalc!F108,'CHIRP Payment Calc'!C:C,0))</f>
        <v>2.59</v>
      </c>
      <c r="P108" s="164">
        <f t="shared" si="11"/>
        <v>30022214.028109081</v>
      </c>
      <c r="Q108" s="165">
        <f t="shared" si="15"/>
        <v>907994.21042916458</v>
      </c>
      <c r="R108" s="165">
        <f t="shared" si="16"/>
        <v>966319.44120642135</v>
      </c>
      <c r="S108" s="165">
        <f t="shared" si="17"/>
        <v>1874313.6516355858</v>
      </c>
      <c r="T108" s="165">
        <f t="shared" si="18"/>
        <v>6752322.9806881472</v>
      </c>
      <c r="U108" s="165">
        <f t="shared" si="19"/>
        <v>3586463.1976658441</v>
      </c>
      <c r="V108" s="165">
        <f t="shared" si="20"/>
        <v>9038880.6789494976</v>
      </c>
      <c r="W108" s="165">
        <f t="shared" si="21"/>
        <v>12518860.822441177</v>
      </c>
      <c r="X108" s="166">
        <f t="shared" si="12"/>
        <v>16105324.020107022</v>
      </c>
    </row>
    <row r="109" spans="4:24">
      <c r="D109" s="9" t="s">
        <v>300</v>
      </c>
      <c r="E109" s="9" t="s">
        <v>2718</v>
      </c>
      <c r="F109" s="4" t="s">
        <v>420</v>
      </c>
      <c r="G109" s="9" t="s">
        <v>3519</v>
      </c>
      <c r="H109" s="164">
        <v>75680.646947379311</v>
      </c>
      <c r="I109" s="165">
        <v>31087.186033651378</v>
      </c>
      <c r="J109" s="165">
        <v>145352.95108686198</v>
      </c>
      <c r="K109" s="165">
        <v>506773.47769470146</v>
      </c>
      <c r="L109" s="177">
        <f t="shared" si="13"/>
        <v>221033.59803424129</v>
      </c>
      <c r="M109" s="166">
        <f t="shared" si="14"/>
        <v>537860.66372835287</v>
      </c>
      <c r="N109" s="189">
        <f>INDEX('CHIRP Payment Calc'!AM:AM,MATCH(F109,'CHIRP Payment Calc'!C:C,0))</f>
        <v>2.67</v>
      </c>
      <c r="O109" s="189">
        <f>INDEX('CHIRP Payment Calc'!AL:AL,MATCH(FeeCalc!F109,'CHIRP Payment Calc'!C:C,0))</f>
        <v>2.59</v>
      </c>
      <c r="P109" s="164">
        <f t="shared" si="11"/>
        <v>1983218.8258078583</v>
      </c>
      <c r="Q109" s="165">
        <f t="shared" si="15"/>
        <v>17239.820161971289</v>
      </c>
      <c r="R109" s="165">
        <f t="shared" si="16"/>
        <v>108551.21404028927</v>
      </c>
      <c r="S109" s="165">
        <f t="shared" si="17"/>
        <v>125791.03420226056</v>
      </c>
      <c r="T109" s="165">
        <f t="shared" si="18"/>
        <v>214395.04228063952</v>
      </c>
      <c r="U109" s="165">
        <f t="shared" si="19"/>
        <v>412864.23340629949</v>
      </c>
      <c r="V109" s="165">
        <f t="shared" si="20"/>
        <v>85427.917057991566</v>
      </c>
      <c r="W109" s="165">
        <f t="shared" si="21"/>
        <v>1396322.6672651882</v>
      </c>
      <c r="X109" s="166">
        <f t="shared" si="12"/>
        <v>1809186.9006714877</v>
      </c>
    </row>
    <row r="110" spans="4:24">
      <c r="D110" s="9" t="s">
        <v>300</v>
      </c>
      <c r="E110" s="9" t="s">
        <v>2718</v>
      </c>
      <c r="F110" s="4" t="s">
        <v>274</v>
      </c>
      <c r="G110" s="9" t="s">
        <v>3325</v>
      </c>
      <c r="H110" s="164">
        <v>2378339.8024391229</v>
      </c>
      <c r="I110" s="165">
        <v>1365598.8664993036</v>
      </c>
      <c r="J110" s="165">
        <v>322795.09407049563</v>
      </c>
      <c r="K110" s="165">
        <v>859036.77080169437</v>
      </c>
      <c r="L110" s="177">
        <f t="shared" si="13"/>
        <v>2701134.8965096185</v>
      </c>
      <c r="M110" s="166">
        <f t="shared" si="14"/>
        <v>2224635.637300998</v>
      </c>
      <c r="N110" s="189">
        <f>INDEX('CHIRP Payment Calc'!AM:AM,MATCH(F110,'CHIRP Payment Calc'!C:C,0))</f>
        <v>1.37</v>
      </c>
      <c r="O110" s="189">
        <f>INDEX('CHIRP Payment Calc'!AL:AL,MATCH(FeeCalc!F110,'CHIRP Payment Calc'!C:C,0))</f>
        <v>2.59</v>
      </c>
      <c r="P110" s="164">
        <f t="shared" si="11"/>
        <v>9462361.1088277623</v>
      </c>
      <c r="Q110" s="165">
        <f t="shared" si="15"/>
        <v>414562.89562923159</v>
      </c>
      <c r="R110" s="165">
        <f t="shared" si="16"/>
        <v>170242.62863316818</v>
      </c>
      <c r="S110" s="165">
        <f t="shared" si="17"/>
        <v>584805.52426239976</v>
      </c>
      <c r="T110" s="165">
        <f t="shared" si="18"/>
        <v>3457109.3149512988</v>
      </c>
      <c r="U110" s="165">
        <f t="shared" si="19"/>
        <v>470456.67965593515</v>
      </c>
      <c r="V110" s="165">
        <f t="shared" si="20"/>
        <v>3752680.174252728</v>
      </c>
      <c r="W110" s="165">
        <f t="shared" si="21"/>
        <v>2366920.4642302007</v>
      </c>
      <c r="X110" s="166">
        <f t="shared" si="12"/>
        <v>2837377.1438861359</v>
      </c>
    </row>
    <row r="111" spans="4:24">
      <c r="D111" s="9" t="s">
        <v>300</v>
      </c>
      <c r="E111" s="9" t="s">
        <v>2718</v>
      </c>
      <c r="F111" s="4" t="s">
        <v>1138</v>
      </c>
      <c r="G111" s="9" t="s">
        <v>3329</v>
      </c>
      <c r="H111" s="164">
        <v>3166043.5456033596</v>
      </c>
      <c r="I111" s="165">
        <v>2603419.8375453302</v>
      </c>
      <c r="J111" s="165">
        <v>2973337.9746107655</v>
      </c>
      <c r="K111" s="165">
        <v>4146971.6469190847</v>
      </c>
      <c r="L111" s="177">
        <f t="shared" si="13"/>
        <v>6139381.5202141255</v>
      </c>
      <c r="M111" s="166">
        <f t="shared" si="14"/>
        <v>6750391.4844644144</v>
      </c>
      <c r="N111" s="189">
        <f>INDEX('CHIRP Payment Calc'!AM:AM,MATCH(F111,'CHIRP Payment Calc'!C:C,0))</f>
        <v>1.52</v>
      </c>
      <c r="O111" s="189">
        <f>INDEX('CHIRP Payment Calc'!AL:AL,MATCH(FeeCalc!F111,'CHIRP Payment Calc'!C:C,0))</f>
        <v>2.59</v>
      </c>
      <c r="P111" s="164">
        <f t="shared" si="11"/>
        <v>26815373.855488304</v>
      </c>
      <c r="Q111" s="165">
        <f t="shared" si="15"/>
        <v>704961.80922246363</v>
      </c>
      <c r="R111" s="165">
        <f t="shared" si="16"/>
        <v>974050.8693784338</v>
      </c>
      <c r="S111" s="165">
        <f t="shared" si="17"/>
        <v>1679012.6786008975</v>
      </c>
      <c r="T111" s="165">
        <f t="shared" si="18"/>
        <v>5105980.0417157635</v>
      </c>
      <c r="U111" s="165">
        <f t="shared" si="19"/>
        <v>4807950.7674557064</v>
      </c>
      <c r="V111" s="165">
        <f t="shared" si="20"/>
        <v>7154225.3360662125</v>
      </c>
      <c r="W111" s="165">
        <f t="shared" si="21"/>
        <v>11426230.388851522</v>
      </c>
      <c r="X111" s="166">
        <f t="shared" si="12"/>
        <v>16234181.156307228</v>
      </c>
    </row>
    <row r="112" spans="4:24">
      <c r="D112" s="9" t="s">
        <v>300</v>
      </c>
      <c r="E112" s="9" t="s">
        <v>2718</v>
      </c>
      <c r="F112" s="4" t="s">
        <v>567</v>
      </c>
      <c r="G112" s="9" t="s">
        <v>3346</v>
      </c>
      <c r="H112" s="164">
        <v>727902.33233102097</v>
      </c>
      <c r="I112" s="165">
        <v>328376.08623212704</v>
      </c>
      <c r="J112" s="165">
        <v>429939.71092847665</v>
      </c>
      <c r="K112" s="165">
        <v>1760562.8461144571</v>
      </c>
      <c r="L112" s="177">
        <f t="shared" si="13"/>
        <v>1157842.0432594977</v>
      </c>
      <c r="M112" s="166">
        <f t="shared" si="14"/>
        <v>2088938.9323465843</v>
      </c>
      <c r="N112" s="189">
        <f>INDEX('CHIRP Payment Calc'!AM:AM,MATCH(F112,'CHIRP Payment Calc'!C:C,0))</f>
        <v>1.42</v>
      </c>
      <c r="O112" s="189">
        <f>INDEX('CHIRP Payment Calc'!AL:AL,MATCH(FeeCalc!F112,'CHIRP Payment Calc'!C:C,0))</f>
        <v>2.59</v>
      </c>
      <c r="P112" s="164">
        <f t="shared" si="11"/>
        <v>7054487.5362061402</v>
      </c>
      <c r="Q112" s="165">
        <f t="shared" si="15"/>
        <v>114946.03085087254</v>
      </c>
      <c r="R112" s="165">
        <f t="shared" si="16"/>
        <v>330023.75495456689</v>
      </c>
      <c r="S112" s="165">
        <f t="shared" si="17"/>
        <v>444969.78580543946</v>
      </c>
      <c r="T112" s="165">
        <f t="shared" si="18"/>
        <v>1096680.4370398405</v>
      </c>
      <c r="U112" s="165">
        <f t="shared" si="19"/>
        <v>649483.39310472005</v>
      </c>
      <c r="V112" s="165">
        <f t="shared" si="20"/>
        <v>902380.96906229074</v>
      </c>
      <c r="W112" s="165">
        <f t="shared" si="21"/>
        <v>4850912.5228047278</v>
      </c>
      <c r="X112" s="166">
        <f t="shared" si="12"/>
        <v>5500395.9159094477</v>
      </c>
    </row>
    <row r="113" spans="4:24">
      <c r="D113" s="9" t="s">
        <v>300</v>
      </c>
      <c r="E113" s="9" t="s">
        <v>2718</v>
      </c>
      <c r="F113" s="4" t="s">
        <v>411</v>
      </c>
      <c r="G113" s="9" t="s">
        <v>3516</v>
      </c>
      <c r="H113" s="164">
        <v>860055.4628216885</v>
      </c>
      <c r="I113" s="165">
        <v>1144684.9673502934</v>
      </c>
      <c r="J113" s="165">
        <v>502142.90729332814</v>
      </c>
      <c r="K113" s="165">
        <v>1089966.677842686</v>
      </c>
      <c r="L113" s="177">
        <f t="shared" si="13"/>
        <v>1362198.3701150166</v>
      </c>
      <c r="M113" s="166">
        <f t="shared" si="14"/>
        <v>2234651.6451929794</v>
      </c>
      <c r="N113" s="189">
        <f>INDEX('CHIRP Payment Calc'!AM:AM,MATCH(F113,'CHIRP Payment Calc'!C:C,0))</f>
        <v>0.94</v>
      </c>
      <c r="O113" s="189">
        <f>INDEX('CHIRP Payment Calc'!AL:AL,MATCH(FeeCalc!F113,'CHIRP Payment Calc'!C:C,0))</f>
        <v>2.59</v>
      </c>
      <c r="P113" s="164">
        <f t="shared" si="11"/>
        <v>7068214.2289579324</v>
      </c>
      <c r="Q113" s="165">
        <f t="shared" si="15"/>
        <v>230194.38358424901</v>
      </c>
      <c r="R113" s="165">
        <f t="shared" si="16"/>
        <v>210320.93798733735</v>
      </c>
      <c r="S113" s="165">
        <f t="shared" si="17"/>
        <v>440515.32157158636</v>
      </c>
      <c r="T113" s="165">
        <f t="shared" si="18"/>
        <v>857774.14859669714</v>
      </c>
      <c r="U113" s="165">
        <f t="shared" si="19"/>
        <v>502142.90729332814</v>
      </c>
      <c r="V113" s="165">
        <f t="shared" si="20"/>
        <v>3145606.4354771986</v>
      </c>
      <c r="W113" s="165">
        <f t="shared" si="21"/>
        <v>3003206.059162294</v>
      </c>
      <c r="X113" s="166">
        <f t="shared" si="12"/>
        <v>3505348.9664556221</v>
      </c>
    </row>
    <row r="114" spans="4:24">
      <c r="D114" s="9" t="s">
        <v>300</v>
      </c>
      <c r="E114" s="9" t="s">
        <v>2718</v>
      </c>
      <c r="F114" s="4" t="s">
        <v>1048</v>
      </c>
      <c r="G114" s="9" t="s">
        <v>3139</v>
      </c>
      <c r="H114" s="164">
        <v>2760854.9011815493</v>
      </c>
      <c r="I114" s="165">
        <v>1111476.9869190003</v>
      </c>
      <c r="J114" s="165">
        <v>662409.11683071346</v>
      </c>
      <c r="K114" s="165">
        <v>461931.99544268294</v>
      </c>
      <c r="L114" s="177">
        <f t="shared" si="13"/>
        <v>3423264.0180122629</v>
      </c>
      <c r="M114" s="166">
        <f t="shared" si="14"/>
        <v>1573408.9823616832</v>
      </c>
      <c r="N114" s="189">
        <f>INDEX('CHIRP Payment Calc'!AM:AM,MATCH(F114,'CHIRP Payment Calc'!C:C,0))</f>
        <v>1.23</v>
      </c>
      <c r="O114" s="189">
        <f>INDEX('CHIRP Payment Calc'!AL:AL,MATCH(FeeCalc!F114,'CHIRP Payment Calc'!C:C,0))</f>
        <v>2.59</v>
      </c>
      <c r="P114" s="164">
        <f t="shared" si="11"/>
        <v>8285744.0064718425</v>
      </c>
      <c r="Q114" s="165">
        <f t="shared" si="15"/>
        <v>382799.12271933915</v>
      </c>
      <c r="R114" s="165">
        <f t="shared" si="16"/>
        <v>128372.36692968043</v>
      </c>
      <c r="S114" s="165">
        <f t="shared" si="17"/>
        <v>511171.48964901955</v>
      </c>
      <c r="T114" s="165">
        <f t="shared" si="18"/>
        <v>3603025.4943801649</v>
      </c>
      <c r="U114" s="165">
        <f t="shared" si="19"/>
        <v>866769.3762784868</v>
      </c>
      <c r="V114" s="165">
        <f t="shared" si="20"/>
        <v>3054350.5529126902</v>
      </c>
      <c r="W114" s="165">
        <f t="shared" si="21"/>
        <v>1272770.0725495201</v>
      </c>
      <c r="X114" s="166">
        <f t="shared" si="12"/>
        <v>2139539.4488280071</v>
      </c>
    </row>
    <row r="115" spans="4:24">
      <c r="D115" s="9" t="s">
        <v>300</v>
      </c>
      <c r="E115" s="9" t="s">
        <v>2718</v>
      </c>
      <c r="F115" s="4" t="s">
        <v>1696</v>
      </c>
      <c r="G115" s="9" t="s">
        <v>3518</v>
      </c>
      <c r="H115" s="164">
        <v>1117769.6654150907</v>
      </c>
      <c r="I115" s="165">
        <v>1552054.9824945093</v>
      </c>
      <c r="J115" s="165">
        <v>441013.33039696439</v>
      </c>
      <c r="K115" s="165">
        <v>837585.73462553753</v>
      </c>
      <c r="L115" s="177">
        <f t="shared" si="13"/>
        <v>1558782.9958120552</v>
      </c>
      <c r="M115" s="166">
        <f t="shared" si="14"/>
        <v>2389640.7171200467</v>
      </c>
      <c r="N115" s="189">
        <f>INDEX('CHIRP Payment Calc'!AM:AM,MATCH(F115,'CHIRP Payment Calc'!C:C,0))</f>
        <v>1.07</v>
      </c>
      <c r="O115" s="189">
        <f>INDEX('CHIRP Payment Calc'!AL:AL,MATCH(FeeCalc!F115,'CHIRP Payment Calc'!C:C,0))</f>
        <v>2.59</v>
      </c>
      <c r="P115" s="164">
        <f t="shared" si="11"/>
        <v>7857067.2628598195</v>
      </c>
      <c r="Q115" s="165">
        <f t="shared" si="15"/>
        <v>318207.49807178596</v>
      </c>
      <c r="R115" s="165">
        <f t="shared" si="16"/>
        <v>168589.23294924857</v>
      </c>
      <c r="S115" s="165">
        <f t="shared" si="17"/>
        <v>486796.73102103453</v>
      </c>
      <c r="T115" s="165">
        <f t="shared" si="18"/>
        <v>1268979.8854049307</v>
      </c>
      <c r="U115" s="165">
        <f t="shared" si="19"/>
        <v>502004.53566462977</v>
      </c>
      <c r="V115" s="165">
        <f t="shared" si="20"/>
        <v>4265063.5593217816</v>
      </c>
      <c r="W115" s="165">
        <f t="shared" si="21"/>
        <v>2307816.0134895132</v>
      </c>
      <c r="X115" s="166">
        <f t="shared" si="12"/>
        <v>2809820.5491541428</v>
      </c>
    </row>
    <row r="116" spans="4:24">
      <c r="D116" s="9" t="s">
        <v>300</v>
      </c>
      <c r="E116" s="9" t="s">
        <v>2718</v>
      </c>
      <c r="F116" s="4" t="s">
        <v>1872</v>
      </c>
      <c r="G116" s="9" t="s">
        <v>3318</v>
      </c>
      <c r="H116" s="164">
        <v>303074.41282772576</v>
      </c>
      <c r="I116" s="165">
        <v>663696.43201902625</v>
      </c>
      <c r="J116" s="165">
        <v>1197663.4417772566</v>
      </c>
      <c r="K116" s="165">
        <v>52685.365527188573</v>
      </c>
      <c r="L116" s="177">
        <f t="shared" si="13"/>
        <v>1500737.8546049823</v>
      </c>
      <c r="M116" s="166">
        <f t="shared" si="14"/>
        <v>716381.79754621477</v>
      </c>
      <c r="N116" s="189">
        <f>INDEX('CHIRP Payment Calc'!AM:AM,MATCH(F116,'CHIRP Payment Calc'!C:C,0))</f>
        <v>1.23</v>
      </c>
      <c r="O116" s="189">
        <f>INDEX('CHIRP Payment Calc'!AL:AL,MATCH(FeeCalc!F116,'CHIRP Payment Calc'!C:C,0))</f>
        <v>2.59</v>
      </c>
      <c r="P116" s="164">
        <f t="shared" si="11"/>
        <v>3701336.4168088241</v>
      </c>
      <c r="Q116" s="165">
        <f t="shared" si="15"/>
        <v>127613.71775668371</v>
      </c>
      <c r="R116" s="165">
        <f t="shared" si="16"/>
        <v>102739.22107030495</v>
      </c>
      <c r="S116" s="165">
        <f t="shared" si="17"/>
        <v>230352.93882698865</v>
      </c>
      <c r="T116" s="165">
        <f t="shared" si="18"/>
        <v>395524.16740382242</v>
      </c>
      <c r="U116" s="165">
        <f t="shared" si="19"/>
        <v>1567155.3546659846</v>
      </c>
      <c r="V116" s="165">
        <f t="shared" si="20"/>
        <v>1823844.837060242</v>
      </c>
      <c r="W116" s="165">
        <f t="shared" si="21"/>
        <v>145164.99650576425</v>
      </c>
      <c r="X116" s="166">
        <f t="shared" si="12"/>
        <v>1712320.3511717489</v>
      </c>
    </row>
    <row r="117" spans="4:24">
      <c r="D117" s="9" t="s">
        <v>300</v>
      </c>
      <c r="E117" s="9" t="s">
        <v>2718</v>
      </c>
      <c r="F117" s="4" t="s">
        <v>14</v>
      </c>
      <c r="G117" s="9" t="s">
        <v>3548</v>
      </c>
      <c r="H117" s="164">
        <v>16269085.711814346</v>
      </c>
      <c r="I117" s="165">
        <v>22012493.202341691</v>
      </c>
      <c r="J117" s="165">
        <v>12729745.424674036</v>
      </c>
      <c r="K117" s="165">
        <v>28813148.913247179</v>
      </c>
      <c r="L117" s="177">
        <f t="shared" si="13"/>
        <v>28998831.136488382</v>
      </c>
      <c r="M117" s="166">
        <f t="shared" si="14"/>
        <v>50825642.115588874</v>
      </c>
      <c r="N117" s="189">
        <f>INDEX('CHIRP Payment Calc'!AM:AM,MATCH(F117,'CHIRP Payment Calc'!C:C,0))</f>
        <v>1.1099999999999999</v>
      </c>
      <c r="O117" s="189">
        <f>INDEX('CHIRP Payment Calc'!AL:AL,MATCH(FeeCalc!F117,'CHIRP Payment Calc'!C:C,0))</f>
        <v>2.59</v>
      </c>
      <c r="P117" s="164">
        <f t="shared" si="11"/>
        <v>163827115.64087728</v>
      </c>
      <c r="Q117" s="165">
        <f t="shared" si="15"/>
        <v>4579930.9768862454</v>
      </c>
      <c r="R117" s="165">
        <f t="shared" si="16"/>
        <v>5665281.262129684</v>
      </c>
      <c r="S117" s="165">
        <f t="shared" si="17"/>
        <v>10245212.239015929</v>
      </c>
      <c r="T117" s="165">
        <f t="shared" si="18"/>
        <v>19160408.636725646</v>
      </c>
      <c r="U117" s="165">
        <f t="shared" si="19"/>
        <v>15031933.427008701</v>
      </c>
      <c r="V117" s="165">
        <f t="shared" si="20"/>
        <v>60490564.874339499</v>
      </c>
      <c r="W117" s="165">
        <f t="shared" si="21"/>
        <v>79389420.941819355</v>
      </c>
      <c r="X117" s="166">
        <f t="shared" si="12"/>
        <v>94421354.368828058</v>
      </c>
    </row>
    <row r="118" spans="4:24">
      <c r="D118" s="9" t="s">
        <v>300</v>
      </c>
      <c r="E118" s="9" t="s">
        <v>2718</v>
      </c>
      <c r="F118" s="4" t="s">
        <v>839</v>
      </c>
      <c r="G118" s="9" t="s">
        <v>3549</v>
      </c>
      <c r="H118" s="164">
        <v>3724895.1558884694</v>
      </c>
      <c r="I118" s="165">
        <v>6140578.1822777903</v>
      </c>
      <c r="J118" s="165">
        <v>1989997.762702069</v>
      </c>
      <c r="K118" s="165">
        <v>3750130.9269698928</v>
      </c>
      <c r="L118" s="177">
        <f t="shared" si="13"/>
        <v>5714892.9185905382</v>
      </c>
      <c r="M118" s="166">
        <f t="shared" si="14"/>
        <v>9890709.1092476826</v>
      </c>
      <c r="N118" s="189">
        <f>INDEX('CHIRP Payment Calc'!AM:AM,MATCH(F118,'CHIRP Payment Calc'!C:C,0))</f>
        <v>0.99</v>
      </c>
      <c r="O118" s="189">
        <f>INDEX('CHIRP Payment Calc'!AL:AL,MATCH(FeeCalc!F118,'CHIRP Payment Calc'!C:C,0))</f>
        <v>2.59</v>
      </c>
      <c r="P118" s="164">
        <f t="shared" si="11"/>
        <v>31274680.582356129</v>
      </c>
      <c r="Q118" s="165">
        <f t="shared" si="15"/>
        <v>1195252.2679519055</v>
      </c>
      <c r="R118" s="165">
        <f t="shared" si="16"/>
        <v>745719.3756974726</v>
      </c>
      <c r="S118" s="165">
        <f t="shared" si="17"/>
        <v>1940971.6436493781</v>
      </c>
      <c r="T118" s="165">
        <f t="shared" si="18"/>
        <v>3912621.9674584451</v>
      </c>
      <c r="U118" s="165">
        <f t="shared" si="19"/>
        <v>2095848.7075266473</v>
      </c>
      <c r="V118" s="165">
        <f t="shared" si="20"/>
        <v>16874373.996922519</v>
      </c>
      <c r="W118" s="165">
        <f t="shared" si="21"/>
        <v>10332807.554097896</v>
      </c>
      <c r="X118" s="166">
        <f t="shared" si="12"/>
        <v>12428656.261624543</v>
      </c>
    </row>
    <row r="119" spans="4:24">
      <c r="D119" s="9" t="s">
        <v>300</v>
      </c>
      <c r="E119" s="9" t="s">
        <v>2718</v>
      </c>
      <c r="F119" s="4" t="s">
        <v>760</v>
      </c>
      <c r="G119" s="9" t="s">
        <v>3116</v>
      </c>
      <c r="H119" s="164">
        <v>1997295.2447597447</v>
      </c>
      <c r="I119" s="165">
        <v>7357999.6462314967</v>
      </c>
      <c r="J119" s="165">
        <v>1125322.3795036818</v>
      </c>
      <c r="K119" s="165">
        <v>4128913.0829972448</v>
      </c>
      <c r="L119" s="177">
        <f t="shared" si="13"/>
        <v>3122617.6242634263</v>
      </c>
      <c r="M119" s="166">
        <f t="shared" si="14"/>
        <v>11486912.729228742</v>
      </c>
      <c r="N119" s="189">
        <f>INDEX('CHIRP Payment Calc'!AM:AM,MATCH(F119,'CHIRP Payment Calc'!C:C,0))</f>
        <v>1.6099999999999999</v>
      </c>
      <c r="O119" s="189">
        <f>INDEX('CHIRP Payment Calc'!AL:AL,MATCH(FeeCalc!F119,'CHIRP Payment Calc'!C:C,0))</f>
        <v>2.59</v>
      </c>
      <c r="P119" s="164">
        <f t="shared" si="11"/>
        <v>34778518.343766555</v>
      </c>
      <c r="Q119" s="165">
        <f t="shared" si="15"/>
        <v>1358821.9677439353</v>
      </c>
      <c r="R119" s="165">
        <f t="shared" si="16"/>
        <v>798233.22867853986</v>
      </c>
      <c r="S119" s="165">
        <f t="shared" si="17"/>
        <v>2157055.1964224754</v>
      </c>
      <c r="T119" s="165">
        <f t="shared" si="18"/>
        <v>3411825.2987407842</v>
      </c>
      <c r="U119" s="165">
        <f t="shared" si="19"/>
        <v>1927413.8627669441</v>
      </c>
      <c r="V119" s="165">
        <f t="shared" si="20"/>
        <v>20219861.096805915</v>
      </c>
      <c r="W119" s="165">
        <f t="shared" si="21"/>
        <v>11376473.281875387</v>
      </c>
      <c r="X119" s="166">
        <f t="shared" si="12"/>
        <v>13303887.144642331</v>
      </c>
    </row>
    <row r="120" spans="4:24">
      <c r="D120" s="9" t="s">
        <v>300</v>
      </c>
      <c r="E120" s="9" t="s">
        <v>2718</v>
      </c>
      <c r="F120" s="4" t="s">
        <v>1812</v>
      </c>
      <c r="G120" s="9" t="s">
        <v>3124</v>
      </c>
      <c r="H120" s="164">
        <v>1422014.3115683959</v>
      </c>
      <c r="I120" s="165">
        <v>1764449.3209980521</v>
      </c>
      <c r="J120" s="165">
        <v>541244.51684236887</v>
      </c>
      <c r="K120" s="165">
        <v>1208698.3840975109</v>
      </c>
      <c r="L120" s="177">
        <f t="shared" si="13"/>
        <v>1963258.8284107647</v>
      </c>
      <c r="M120" s="166">
        <f t="shared" si="14"/>
        <v>2973147.7050955631</v>
      </c>
      <c r="N120" s="189">
        <f>INDEX('CHIRP Payment Calc'!AM:AM,MATCH(F120,'CHIRP Payment Calc'!C:C,0))</f>
        <v>1.56</v>
      </c>
      <c r="O120" s="189">
        <f>INDEX('CHIRP Payment Calc'!AL:AL,MATCH(FeeCalc!F120,'CHIRP Payment Calc'!C:C,0))</f>
        <v>2.59</v>
      </c>
      <c r="P120" s="164">
        <f t="shared" si="11"/>
        <v>10763136.328518301</v>
      </c>
      <c r="Q120" s="165">
        <f t="shared" si="15"/>
        <v>414138.2481456977</v>
      </c>
      <c r="R120" s="165">
        <f t="shared" si="16"/>
        <v>253715.123048084</v>
      </c>
      <c r="S120" s="165">
        <f t="shared" si="17"/>
        <v>667853.37119378173</v>
      </c>
      <c r="T120" s="165">
        <f t="shared" si="18"/>
        <v>2353678.8605269999</v>
      </c>
      <c r="U120" s="165">
        <f t="shared" si="19"/>
        <v>898235.58114265488</v>
      </c>
      <c r="V120" s="165">
        <f t="shared" si="20"/>
        <v>4848725.4550503502</v>
      </c>
      <c r="W120" s="165">
        <f t="shared" si="21"/>
        <v>3330349.802992078</v>
      </c>
      <c r="X120" s="166">
        <f t="shared" si="12"/>
        <v>4228585.3841347331</v>
      </c>
    </row>
    <row r="121" spans="4:24">
      <c r="D121" s="9" t="s">
        <v>300</v>
      </c>
      <c r="E121" s="9" t="s">
        <v>2718</v>
      </c>
      <c r="F121" s="4" t="s">
        <v>772</v>
      </c>
      <c r="G121" s="9" t="s">
        <v>3126</v>
      </c>
      <c r="H121" s="164">
        <v>8209702.7048803139</v>
      </c>
      <c r="I121" s="165">
        <v>6425466.642199385</v>
      </c>
      <c r="J121" s="165">
        <v>1384272.6236215697</v>
      </c>
      <c r="K121" s="165">
        <v>6611096.019366648</v>
      </c>
      <c r="L121" s="177">
        <f t="shared" si="13"/>
        <v>9593975.3285018839</v>
      </c>
      <c r="M121" s="166">
        <f t="shared" si="14"/>
        <v>13036562.661566034</v>
      </c>
      <c r="N121" s="189">
        <f>INDEX('CHIRP Payment Calc'!AM:AM,MATCH(F121,'CHIRP Payment Calc'!C:C,0))</f>
        <v>0.88</v>
      </c>
      <c r="O121" s="189">
        <f>INDEX('CHIRP Payment Calc'!AL:AL,MATCH(FeeCalc!F121,'CHIRP Payment Calc'!C:C,0))</f>
        <v>2.59</v>
      </c>
      <c r="P121" s="164">
        <f t="shared" si="11"/>
        <v>42207395.582537681</v>
      </c>
      <c r="Q121" s="165">
        <f t="shared" si="15"/>
        <v>1456046.235073196</v>
      </c>
      <c r="R121" s="165">
        <f t="shared" si="16"/>
        <v>1170695.6552519107</v>
      </c>
      <c r="S121" s="165">
        <f t="shared" si="17"/>
        <v>2626741.8903251067</v>
      </c>
      <c r="T121" s="165">
        <f t="shared" si="18"/>
        <v>7665292.7111879848</v>
      </c>
      <c r="U121" s="165">
        <f t="shared" si="19"/>
        <v>1295914.7965818953</v>
      </c>
      <c r="V121" s="165">
        <f t="shared" si="20"/>
        <v>17657250.507476293</v>
      </c>
      <c r="W121" s="165">
        <f t="shared" si="21"/>
        <v>18215679.457616616</v>
      </c>
      <c r="X121" s="166">
        <f t="shared" si="12"/>
        <v>19511594.25419851</v>
      </c>
    </row>
    <row r="122" spans="4:24">
      <c r="D122" s="9" t="s">
        <v>300</v>
      </c>
      <c r="E122" s="9" t="s">
        <v>2718</v>
      </c>
      <c r="F122" s="4" t="s">
        <v>277</v>
      </c>
      <c r="G122" s="9" t="s">
        <v>3326</v>
      </c>
      <c r="H122" s="164">
        <v>6215635.2988700718</v>
      </c>
      <c r="I122" s="165">
        <v>3722415.5366859226</v>
      </c>
      <c r="J122" s="165">
        <v>382040.36041924322</v>
      </c>
      <c r="K122" s="165">
        <v>1478832.9679008359</v>
      </c>
      <c r="L122" s="177">
        <f t="shared" si="13"/>
        <v>6597675.6592893153</v>
      </c>
      <c r="M122" s="166">
        <f t="shared" si="14"/>
        <v>5201248.5045867581</v>
      </c>
      <c r="N122" s="189">
        <f>INDEX('CHIRP Payment Calc'!AM:AM,MATCH(F122,'CHIRP Payment Calc'!C:C,0))</f>
        <v>0.96</v>
      </c>
      <c r="O122" s="189">
        <f>INDEX('CHIRP Payment Calc'!AL:AL,MATCH(FeeCalc!F122,'CHIRP Payment Calc'!C:C,0))</f>
        <v>2.59</v>
      </c>
      <c r="P122" s="164">
        <f t="shared" si="11"/>
        <v>19805002.259797446</v>
      </c>
      <c r="Q122" s="165">
        <f t="shared" si="15"/>
        <v>952216.23586056125</v>
      </c>
      <c r="R122" s="165">
        <f t="shared" si="16"/>
        <v>267889.54039567907</v>
      </c>
      <c r="S122" s="165">
        <f t="shared" si="17"/>
        <v>1220105.7762562404</v>
      </c>
      <c r="T122" s="165">
        <f t="shared" si="18"/>
        <v>6331044.9728543963</v>
      </c>
      <c r="U122" s="165">
        <f t="shared" si="19"/>
        <v>390168.87872603565</v>
      </c>
      <c r="V122" s="165">
        <f t="shared" si="20"/>
        <v>10229237.389937973</v>
      </c>
      <c r="W122" s="165">
        <f t="shared" si="21"/>
        <v>4074656.7945352821</v>
      </c>
      <c r="X122" s="166">
        <f t="shared" si="12"/>
        <v>4464825.6732613174</v>
      </c>
    </row>
    <row r="123" spans="4:24">
      <c r="D123" s="9" t="s">
        <v>300</v>
      </c>
      <c r="E123" s="9" t="s">
        <v>2718</v>
      </c>
      <c r="F123" s="4" t="s">
        <v>1278</v>
      </c>
      <c r="G123" s="9" t="s">
        <v>3328</v>
      </c>
      <c r="H123" s="164">
        <v>7130646.9662842257</v>
      </c>
      <c r="I123" s="165">
        <v>3069377.1698912117</v>
      </c>
      <c r="J123" s="165">
        <v>1372029.6630702519</v>
      </c>
      <c r="K123" s="165">
        <v>1699350.0902832826</v>
      </c>
      <c r="L123" s="177">
        <f t="shared" si="13"/>
        <v>8502676.6293544769</v>
      </c>
      <c r="M123" s="166">
        <f t="shared" si="14"/>
        <v>4768727.2601744942</v>
      </c>
      <c r="N123" s="189">
        <f>INDEX('CHIRP Payment Calc'!AM:AM,MATCH(F123,'CHIRP Payment Calc'!C:C,0))</f>
        <v>1.1499999999999999</v>
      </c>
      <c r="O123" s="189">
        <f>INDEX('CHIRP Payment Calc'!AL:AL,MATCH(FeeCalc!F123,'CHIRP Payment Calc'!C:C,0))</f>
        <v>2.59</v>
      </c>
      <c r="P123" s="164">
        <f t="shared" si="11"/>
        <v>22129081.727609586</v>
      </c>
      <c r="Q123" s="165">
        <f t="shared" si="15"/>
        <v>985274.29779479362</v>
      </c>
      <c r="R123" s="165">
        <f t="shared" si="16"/>
        <v>381647.92636369099</v>
      </c>
      <c r="S123" s="165">
        <f t="shared" si="17"/>
        <v>1366922.2241584845</v>
      </c>
      <c r="T123" s="165">
        <f t="shared" si="18"/>
        <v>8700524.1498428211</v>
      </c>
      <c r="U123" s="165">
        <f t="shared" si="19"/>
        <v>1678546.9282242444</v>
      </c>
      <c r="V123" s="165">
        <f t="shared" si="20"/>
        <v>8434681.0291970689</v>
      </c>
      <c r="W123" s="165">
        <f t="shared" si="21"/>
        <v>4682251.8445039382</v>
      </c>
      <c r="X123" s="166">
        <f t="shared" si="12"/>
        <v>6360798.7727281824</v>
      </c>
    </row>
    <row r="124" spans="4:24">
      <c r="D124" s="9" t="s">
        <v>300</v>
      </c>
      <c r="E124" s="9" t="s">
        <v>2718</v>
      </c>
      <c r="F124" s="4" t="s">
        <v>241</v>
      </c>
      <c r="G124" s="9" t="s">
        <v>3551</v>
      </c>
      <c r="H124" s="164">
        <v>2613196.7858135491</v>
      </c>
      <c r="I124" s="165">
        <v>1347936.0997720708</v>
      </c>
      <c r="J124" s="165">
        <v>1198761.6291290072</v>
      </c>
      <c r="K124" s="165">
        <v>1778562.3267281069</v>
      </c>
      <c r="L124" s="177">
        <f t="shared" si="13"/>
        <v>3811958.4149425561</v>
      </c>
      <c r="M124" s="166">
        <f t="shared" si="14"/>
        <v>3126498.4265001779</v>
      </c>
      <c r="N124" s="189">
        <f>INDEX('CHIRP Payment Calc'!AM:AM,MATCH(F124,'CHIRP Payment Calc'!C:C,0))</f>
        <v>1.18</v>
      </c>
      <c r="O124" s="189">
        <f>INDEX('CHIRP Payment Calc'!AL:AL,MATCH(FeeCalc!F124,'CHIRP Payment Calc'!C:C,0))</f>
        <v>2.59</v>
      </c>
      <c r="P124" s="164">
        <f t="shared" si="11"/>
        <v>12595741.854267675</v>
      </c>
      <c r="Q124" s="165">
        <f t="shared" si="15"/>
        <v>401110.64782599988</v>
      </c>
      <c r="R124" s="165">
        <f t="shared" si="16"/>
        <v>384320.11586795904</v>
      </c>
      <c r="S124" s="165">
        <f t="shared" si="17"/>
        <v>785430.76369395899</v>
      </c>
      <c r="T124" s="165">
        <f t="shared" si="18"/>
        <v>3271694.6496127192</v>
      </c>
      <c r="U124" s="165">
        <f t="shared" si="19"/>
        <v>1504828.4280555623</v>
      </c>
      <c r="V124" s="165">
        <f t="shared" si="20"/>
        <v>3704142.7038829313</v>
      </c>
      <c r="W124" s="165">
        <f t="shared" si="21"/>
        <v>4900506.8364104219</v>
      </c>
      <c r="X124" s="166">
        <f t="shared" si="12"/>
        <v>6405335.264465984</v>
      </c>
    </row>
    <row r="125" spans="4:24">
      <c r="D125" s="9" t="s">
        <v>300</v>
      </c>
      <c r="E125" s="9" t="s">
        <v>2718</v>
      </c>
      <c r="F125" s="4" t="s">
        <v>1317</v>
      </c>
      <c r="G125" s="9" t="s">
        <v>3503</v>
      </c>
      <c r="H125" s="164">
        <v>2175610.5947555653</v>
      </c>
      <c r="I125" s="165">
        <v>2075376.7922381938</v>
      </c>
      <c r="J125" s="165">
        <v>980773.30977206945</v>
      </c>
      <c r="K125" s="165">
        <v>1914915.5407619374</v>
      </c>
      <c r="L125" s="177">
        <f t="shared" si="13"/>
        <v>3156383.9045276348</v>
      </c>
      <c r="M125" s="166">
        <f t="shared" si="14"/>
        <v>3990292.333000131</v>
      </c>
      <c r="N125" s="189">
        <f>INDEX('CHIRP Payment Calc'!AM:AM,MATCH(F125,'CHIRP Payment Calc'!C:C,0))</f>
        <v>1.18</v>
      </c>
      <c r="O125" s="189">
        <f>INDEX('CHIRP Payment Calc'!AL:AL,MATCH(FeeCalc!F125,'CHIRP Payment Calc'!C:C,0))</f>
        <v>2.59</v>
      </c>
      <c r="P125" s="164">
        <f t="shared" si="11"/>
        <v>14059390.149812948</v>
      </c>
      <c r="Q125" s="165">
        <f t="shared" si="15"/>
        <v>484552.43250741443</v>
      </c>
      <c r="R125" s="165">
        <f t="shared" si="16"/>
        <v>390443.21847475279</v>
      </c>
      <c r="S125" s="165">
        <f t="shared" si="17"/>
        <v>874995.65098216722</v>
      </c>
      <c r="T125" s="165">
        <f t="shared" si="18"/>
        <v>2723841.3812324316</v>
      </c>
      <c r="U125" s="165">
        <f t="shared" si="19"/>
        <v>1231183.5165223849</v>
      </c>
      <c r="V125" s="165">
        <f t="shared" si="20"/>
        <v>5703157.4449834712</v>
      </c>
      <c r="W125" s="165">
        <f t="shared" si="21"/>
        <v>5276203.4580568271</v>
      </c>
      <c r="X125" s="166">
        <f t="shared" si="12"/>
        <v>6507386.9745792123</v>
      </c>
    </row>
    <row r="126" spans="4:24">
      <c r="D126" s="9" t="s">
        <v>300</v>
      </c>
      <c r="E126" s="9" t="s">
        <v>2718</v>
      </c>
      <c r="F126" s="4" t="s">
        <v>184</v>
      </c>
      <c r="G126" s="9" t="s">
        <v>3533</v>
      </c>
      <c r="H126" s="164">
        <v>2732849.7022757321</v>
      </c>
      <c r="I126" s="165">
        <v>469040.45901089389</v>
      </c>
      <c r="J126" s="165">
        <v>383144.05651142489</v>
      </c>
      <c r="K126" s="165">
        <v>309978.97424102179</v>
      </c>
      <c r="L126" s="177">
        <f t="shared" si="13"/>
        <v>3115993.758787157</v>
      </c>
      <c r="M126" s="166">
        <f t="shared" si="14"/>
        <v>779019.43325191573</v>
      </c>
      <c r="N126" s="189">
        <f>INDEX('CHIRP Payment Calc'!AM:AM,MATCH(F126,'CHIRP Payment Calc'!C:C,0))</f>
        <v>0.9</v>
      </c>
      <c r="O126" s="189">
        <f>INDEX('CHIRP Payment Calc'!AL:AL,MATCH(FeeCalc!F126,'CHIRP Payment Calc'!C:C,0))</f>
        <v>2.59</v>
      </c>
      <c r="P126" s="164">
        <f t="shared" si="11"/>
        <v>4822054.715030903</v>
      </c>
      <c r="Q126" s="165">
        <f t="shared" si="15"/>
        <v>224166.38986839951</v>
      </c>
      <c r="R126" s="165">
        <f t="shared" si="16"/>
        <v>73255.863456033767</v>
      </c>
      <c r="S126" s="165">
        <f t="shared" si="17"/>
        <v>297422.25332443329</v>
      </c>
      <c r="T126" s="165">
        <f t="shared" si="18"/>
        <v>2609617.7528362432</v>
      </c>
      <c r="U126" s="165">
        <f t="shared" si="19"/>
        <v>366840.05410668347</v>
      </c>
      <c r="V126" s="165">
        <f t="shared" si="20"/>
        <v>1288928.1579185305</v>
      </c>
      <c r="W126" s="165">
        <f t="shared" si="21"/>
        <v>854091.00349387922</v>
      </c>
      <c r="X126" s="166">
        <f t="shared" si="12"/>
        <v>1220931.0576005627</v>
      </c>
    </row>
    <row r="127" spans="4:24">
      <c r="D127" s="9" t="s">
        <v>300</v>
      </c>
      <c r="E127" s="9" t="s">
        <v>2718</v>
      </c>
      <c r="F127" s="4" t="s">
        <v>564</v>
      </c>
      <c r="G127" s="9" t="s">
        <v>3113</v>
      </c>
      <c r="H127" s="164">
        <v>3999614.4047866422</v>
      </c>
      <c r="I127" s="165">
        <v>3497620.9273017473</v>
      </c>
      <c r="J127" s="165">
        <v>893943.9275017411</v>
      </c>
      <c r="K127" s="165">
        <v>2829973.6401191349</v>
      </c>
      <c r="L127" s="177">
        <f t="shared" si="13"/>
        <v>4893558.3322883835</v>
      </c>
      <c r="M127" s="166">
        <f t="shared" si="14"/>
        <v>6327594.5674208822</v>
      </c>
      <c r="N127" s="189">
        <f>INDEX('CHIRP Payment Calc'!AM:AM,MATCH(F127,'CHIRP Payment Calc'!C:C,0))</f>
        <v>0.87</v>
      </c>
      <c r="O127" s="189">
        <f>INDEX('CHIRP Payment Calc'!AL:AL,MATCH(FeeCalc!F127,'CHIRP Payment Calc'!C:C,0))</f>
        <v>2.59</v>
      </c>
      <c r="P127" s="164">
        <f t="shared" si="11"/>
        <v>20645865.678710975</v>
      </c>
      <c r="Q127" s="165">
        <f t="shared" si="15"/>
        <v>764948.44265025423</v>
      </c>
      <c r="R127" s="165">
        <f t="shared" si="16"/>
        <v>517491.25179798348</v>
      </c>
      <c r="S127" s="165">
        <f t="shared" si="17"/>
        <v>1282439.6944482378</v>
      </c>
      <c r="T127" s="165">
        <f t="shared" si="18"/>
        <v>3691951.7582645933</v>
      </c>
      <c r="U127" s="165">
        <f t="shared" si="19"/>
        <v>827373.63502820721</v>
      </c>
      <c r="V127" s="165">
        <f t="shared" si="20"/>
        <v>9611499.4182615653</v>
      </c>
      <c r="W127" s="165">
        <f t="shared" si="21"/>
        <v>7797480.56160485</v>
      </c>
      <c r="X127" s="166">
        <f t="shared" si="12"/>
        <v>8624854.1966330577</v>
      </c>
    </row>
    <row r="128" spans="4:24">
      <c r="D128" s="9" t="s">
        <v>300</v>
      </c>
      <c r="E128" s="9" t="s">
        <v>2718</v>
      </c>
      <c r="F128" s="4" t="s">
        <v>648</v>
      </c>
      <c r="G128" s="9" t="s">
        <v>3520</v>
      </c>
      <c r="H128" s="164">
        <v>1378669.3319695953</v>
      </c>
      <c r="I128" s="165">
        <v>294645.04324020975</v>
      </c>
      <c r="J128" s="165">
        <v>369583.51300305995</v>
      </c>
      <c r="K128" s="165">
        <v>414306.00508191565</v>
      </c>
      <c r="L128" s="177">
        <f t="shared" si="13"/>
        <v>1748252.8449726552</v>
      </c>
      <c r="M128" s="166">
        <f t="shared" si="14"/>
        <v>708951.04832212534</v>
      </c>
      <c r="N128" s="189">
        <f>INDEX('CHIRP Payment Calc'!AM:AM,MATCH(F128,'CHIRP Payment Calc'!C:C,0))</f>
        <v>0.85</v>
      </c>
      <c r="O128" s="189">
        <f>INDEX('CHIRP Payment Calc'!AL:AL,MATCH(FeeCalc!F128,'CHIRP Payment Calc'!C:C,0))</f>
        <v>2.59</v>
      </c>
      <c r="P128" s="164">
        <f t="shared" si="11"/>
        <v>3322198.1333810613</v>
      </c>
      <c r="Q128" s="165">
        <f t="shared" si="15"/>
        <v>118050.3731188989</v>
      </c>
      <c r="R128" s="165">
        <f t="shared" si="16"/>
        <v>88544.587609452938</v>
      </c>
      <c r="S128" s="165">
        <f t="shared" si="17"/>
        <v>206594.96072835184</v>
      </c>
      <c r="T128" s="165">
        <f t="shared" si="18"/>
        <v>1243362.2622537464</v>
      </c>
      <c r="U128" s="165">
        <f t="shared" si="19"/>
        <v>334197.857502767</v>
      </c>
      <c r="V128" s="165">
        <f t="shared" si="20"/>
        <v>809687.70503145165</v>
      </c>
      <c r="W128" s="165">
        <f t="shared" si="21"/>
        <v>1141545.2693214484</v>
      </c>
      <c r="X128" s="166">
        <f t="shared" si="12"/>
        <v>1475743.1268242155</v>
      </c>
    </row>
    <row r="129" spans="4:24">
      <c r="D129" s="9" t="s">
        <v>300</v>
      </c>
      <c r="E129" s="9" t="s">
        <v>2718</v>
      </c>
      <c r="F129" s="4" t="s">
        <v>836</v>
      </c>
      <c r="G129" s="9" t="s">
        <v>3547</v>
      </c>
      <c r="H129" s="164">
        <v>19414418.387591895</v>
      </c>
      <c r="I129" s="165">
        <v>76582851.118288875</v>
      </c>
      <c r="J129" s="165">
        <v>9696779.1548324004</v>
      </c>
      <c r="K129" s="165">
        <v>23623336.673144929</v>
      </c>
      <c r="L129" s="177">
        <f t="shared" si="13"/>
        <v>29111197.542424295</v>
      </c>
      <c r="M129" s="166">
        <f t="shared" si="14"/>
        <v>100206187.79143381</v>
      </c>
      <c r="N129" s="189">
        <f>INDEX('CHIRP Payment Calc'!AM:AM,MATCH(F129,'CHIRP Payment Calc'!C:C,0))</f>
        <v>0.96</v>
      </c>
      <c r="O129" s="189">
        <f>INDEX('CHIRP Payment Calc'!AL:AL,MATCH(FeeCalc!F129,'CHIRP Payment Calc'!C:C,0))</f>
        <v>2.59</v>
      </c>
      <c r="P129" s="164">
        <f t="shared" si="11"/>
        <v>287480776.02054089</v>
      </c>
      <c r="Q129" s="165">
        <f t="shared" si="15"/>
        <v>13237959.6793488</v>
      </c>
      <c r="R129" s="165">
        <f t="shared" si="16"/>
        <v>4499575.5301330518</v>
      </c>
      <c r="S129" s="165">
        <f t="shared" si="17"/>
        <v>17737535.20948185</v>
      </c>
      <c r="T129" s="165">
        <f t="shared" si="18"/>
        <v>19774898.304602884</v>
      </c>
      <c r="U129" s="165">
        <f t="shared" si="19"/>
        <v>9903093.6049352176</v>
      </c>
      <c r="V129" s="165">
        <f t="shared" si="20"/>
        <v>210450487.42320231</v>
      </c>
      <c r="W129" s="165">
        <f t="shared" si="21"/>
        <v>65089831.89728231</v>
      </c>
      <c r="X129" s="166">
        <f t="shared" si="12"/>
        <v>74992925.502217531</v>
      </c>
    </row>
    <row r="130" spans="4:24">
      <c r="D130" s="9" t="s">
        <v>1517</v>
      </c>
      <c r="E130" s="9" t="s">
        <v>3069</v>
      </c>
      <c r="F130" s="4" t="s">
        <v>1332</v>
      </c>
      <c r="G130" s="9" t="s">
        <v>3540</v>
      </c>
      <c r="H130" s="164">
        <v>0</v>
      </c>
      <c r="I130" s="165">
        <v>1593072.8598933686</v>
      </c>
      <c r="J130" s="165">
        <v>0</v>
      </c>
      <c r="K130" s="165">
        <v>0</v>
      </c>
      <c r="L130" s="177">
        <f t="shared" si="13"/>
        <v>0</v>
      </c>
      <c r="M130" s="166">
        <f t="shared" si="14"/>
        <v>1593072.8598933686</v>
      </c>
      <c r="N130" s="189">
        <f>INDEX('CHIRP Payment Calc'!AM:AM,MATCH(F130,'CHIRP Payment Calc'!C:C,0))</f>
        <v>0</v>
      </c>
      <c r="O130" s="189">
        <f>INDEX('CHIRP Payment Calc'!AL:AL,MATCH(FeeCalc!F130,'CHIRP Payment Calc'!C:C,0))</f>
        <v>0.23</v>
      </c>
      <c r="P130" s="164">
        <f t="shared" si="11"/>
        <v>366406.75777547481</v>
      </c>
      <c r="Q130" s="165">
        <f t="shared" si="15"/>
        <v>22353.72792794674</v>
      </c>
      <c r="R130" s="165">
        <f t="shared" si="16"/>
        <v>0</v>
      </c>
      <c r="S130" s="165">
        <f t="shared" si="17"/>
        <v>22353.72792794674</v>
      </c>
      <c r="T130" s="165">
        <f t="shared" si="18"/>
        <v>0</v>
      </c>
      <c r="U130" s="165">
        <f t="shared" si="19"/>
        <v>0</v>
      </c>
      <c r="V130" s="165">
        <f t="shared" si="20"/>
        <v>388760.48570342152</v>
      </c>
      <c r="W130" s="165">
        <f t="shared" si="21"/>
        <v>0</v>
      </c>
      <c r="X130" s="166">
        <f t="shared" si="12"/>
        <v>0</v>
      </c>
    </row>
    <row r="131" spans="4:24">
      <c r="D131" s="9" t="s">
        <v>1517</v>
      </c>
      <c r="E131" s="9" t="s">
        <v>2768</v>
      </c>
      <c r="F131" s="4" t="s">
        <v>1054</v>
      </c>
      <c r="G131" s="9" t="s">
        <v>3513</v>
      </c>
      <c r="H131" s="164">
        <v>2525850.2450449914</v>
      </c>
      <c r="I131" s="165">
        <v>880773.91444537009</v>
      </c>
      <c r="J131" s="165">
        <v>485937.10408898589</v>
      </c>
      <c r="K131" s="165">
        <v>212193.46313041946</v>
      </c>
      <c r="L131" s="177">
        <f t="shared" si="13"/>
        <v>3011787.3491339772</v>
      </c>
      <c r="M131" s="166">
        <f t="shared" si="14"/>
        <v>1092967.3775757896</v>
      </c>
      <c r="N131" s="189">
        <f>INDEX('CHIRP Payment Calc'!AM:AM,MATCH(F131,'CHIRP Payment Calc'!C:C,0))</f>
        <v>7.0000000000000007E-2</v>
      </c>
      <c r="O131" s="189">
        <f>INDEX('CHIRP Payment Calc'!AL:AL,MATCH(FeeCalc!F131,'CHIRP Payment Calc'!C:C,0))</f>
        <v>0</v>
      </c>
      <c r="P131" s="164">
        <f t="shared" si="11"/>
        <v>210825.11443937843</v>
      </c>
      <c r="Q131" s="165">
        <f t="shared" si="15"/>
        <v>10786.787518627152</v>
      </c>
      <c r="R131" s="165">
        <f t="shared" si="16"/>
        <v>2171.2083374188733</v>
      </c>
      <c r="S131" s="165">
        <f t="shared" si="17"/>
        <v>12957.995856046025</v>
      </c>
      <c r="T131" s="165">
        <f t="shared" si="18"/>
        <v>187596.30467177654</v>
      </c>
      <c r="U131" s="165">
        <f t="shared" si="19"/>
        <v>36186.805623647888</v>
      </c>
      <c r="V131" s="165">
        <f t="shared" si="20"/>
        <v>0</v>
      </c>
      <c r="W131" s="165">
        <f t="shared" si="21"/>
        <v>0</v>
      </c>
      <c r="X131" s="166">
        <f t="shared" si="12"/>
        <v>36186.805623647888</v>
      </c>
    </row>
    <row r="132" spans="4:24">
      <c r="D132" s="9" t="s">
        <v>1517</v>
      </c>
      <c r="E132" s="9" t="s">
        <v>2768</v>
      </c>
      <c r="F132" s="4" t="s">
        <v>516</v>
      </c>
      <c r="G132" s="9" t="s">
        <v>3456</v>
      </c>
      <c r="H132" s="164">
        <v>3069957.1841513794</v>
      </c>
      <c r="I132" s="165">
        <v>3148547.7080950136</v>
      </c>
      <c r="J132" s="165">
        <v>705587.22295842646</v>
      </c>
      <c r="K132" s="165">
        <v>1251090.3547123838</v>
      </c>
      <c r="L132" s="177">
        <f t="shared" si="13"/>
        <v>3775544.4071098058</v>
      </c>
      <c r="M132" s="166">
        <f t="shared" si="14"/>
        <v>4399638.0628073979</v>
      </c>
      <c r="N132" s="189">
        <f>INDEX('CHIRP Payment Calc'!AM:AM,MATCH(F132,'CHIRP Payment Calc'!C:C,0))</f>
        <v>0.75</v>
      </c>
      <c r="O132" s="189">
        <f>INDEX('CHIRP Payment Calc'!AL:AL,MATCH(FeeCalc!F132,'CHIRP Payment Calc'!C:C,0))</f>
        <v>0</v>
      </c>
      <c r="P132" s="164">
        <f t="shared" ref="P132:P194" si="22">(L132*N132)+(M132*O132)</f>
        <v>2831658.3053323543</v>
      </c>
      <c r="Q132" s="165">
        <f t="shared" si="15"/>
        <v>140468.86320056044</v>
      </c>
      <c r="R132" s="165">
        <f t="shared" si="16"/>
        <v>33778.111737371488</v>
      </c>
      <c r="S132" s="165">
        <f t="shared" si="17"/>
        <v>174246.97493793193</v>
      </c>
      <c r="T132" s="165">
        <f t="shared" si="18"/>
        <v>2442936.7513140948</v>
      </c>
      <c r="U132" s="165">
        <f t="shared" si="19"/>
        <v>562968.52895619138</v>
      </c>
      <c r="V132" s="165">
        <f t="shared" si="20"/>
        <v>0</v>
      </c>
      <c r="W132" s="165">
        <f t="shared" si="21"/>
        <v>0</v>
      </c>
      <c r="X132" s="166">
        <f t="shared" ref="X132:X194" si="23">U132+W132</f>
        <v>562968.52895619138</v>
      </c>
    </row>
    <row r="133" spans="4:24">
      <c r="D133" s="9" t="s">
        <v>1517</v>
      </c>
      <c r="E133" s="9" t="s">
        <v>3389</v>
      </c>
      <c r="F133" s="4" t="s">
        <v>2787</v>
      </c>
      <c r="G133" s="9" t="s">
        <v>3361</v>
      </c>
      <c r="H133" s="164">
        <v>0</v>
      </c>
      <c r="I133" s="165">
        <v>8586.3988397434005</v>
      </c>
      <c r="J133" s="165">
        <v>0</v>
      </c>
      <c r="K133" s="165">
        <v>0</v>
      </c>
      <c r="L133" s="177">
        <f t="shared" ref="L133:L195" si="24">H133+J133</f>
        <v>0</v>
      </c>
      <c r="M133" s="166">
        <f t="shared" ref="M133:M195" si="25">I133+K133</f>
        <v>8586.3988397434005</v>
      </c>
      <c r="N133" s="189">
        <f>INDEX('CHIRP Payment Calc'!AM:AM,MATCH(F133,'CHIRP Payment Calc'!C:C,0))</f>
        <v>0</v>
      </c>
      <c r="O133" s="189">
        <f>INDEX('CHIRP Payment Calc'!AL:AL,MATCH(FeeCalc!F133,'CHIRP Payment Calc'!C:C,0))</f>
        <v>39.4</v>
      </c>
      <c r="P133" s="164">
        <f t="shared" si="22"/>
        <v>338304.11428588995</v>
      </c>
      <c r="Q133" s="165">
        <f t="shared" ref="Q133:Q195" si="26">(T133+V133)*$B$10</f>
        <v>20639.243046619282</v>
      </c>
      <c r="R133" s="165">
        <f t="shared" ref="R133:R195" si="27">(U133+W133)*$B$11</f>
        <v>0</v>
      </c>
      <c r="S133" s="165">
        <f t="shared" ref="S133:S195" si="28">(T133+V133)*$B$10+(U133+W133)*$B$11</f>
        <v>20639.243046619282</v>
      </c>
      <c r="T133" s="165">
        <f t="shared" ref="T133:T195" si="29">H133/(1-$B$10)*N133</f>
        <v>0</v>
      </c>
      <c r="U133" s="165">
        <f t="shared" ref="U133:U195" si="30">J133/(1-$B$11)*N133</f>
        <v>0</v>
      </c>
      <c r="V133" s="165">
        <f t="shared" ref="V133:V195" si="31">I133/(1-$B$10)*O133</f>
        <v>358943.35733250924</v>
      </c>
      <c r="W133" s="165">
        <f t="shared" ref="W133:W195" si="32">K133/(1-$B$11)*O133</f>
        <v>0</v>
      </c>
      <c r="X133" s="166">
        <f t="shared" si="23"/>
        <v>0</v>
      </c>
    </row>
    <row r="134" spans="4:24">
      <c r="D134" s="9" t="s">
        <v>1517</v>
      </c>
      <c r="E134" s="9" t="s">
        <v>2718</v>
      </c>
      <c r="F134" s="4" t="s">
        <v>645</v>
      </c>
      <c r="G134" s="9" t="s">
        <v>3130</v>
      </c>
      <c r="H134" s="164">
        <v>1617760.1448477791</v>
      </c>
      <c r="I134" s="165">
        <v>3494573.1271968982</v>
      </c>
      <c r="J134" s="165">
        <v>546492.88667426375</v>
      </c>
      <c r="K134" s="165">
        <v>2065969.505625691</v>
      </c>
      <c r="L134" s="177">
        <f t="shared" si="24"/>
        <v>2164253.031522043</v>
      </c>
      <c r="M134" s="166">
        <f t="shared" si="25"/>
        <v>5560542.632822589</v>
      </c>
      <c r="N134" s="189">
        <f>INDEX('CHIRP Payment Calc'!AM:AM,MATCH(F134,'CHIRP Payment Calc'!C:C,0))</f>
        <v>1.8599999999999999</v>
      </c>
      <c r="O134" s="189">
        <f>INDEX('CHIRP Payment Calc'!AL:AL,MATCH(FeeCalc!F134,'CHIRP Payment Calc'!C:C,0))</f>
        <v>3.19</v>
      </c>
      <c r="P134" s="164">
        <f t="shared" si="22"/>
        <v>21763641.637335058</v>
      </c>
      <c r="Q134" s="165">
        <f t="shared" si="26"/>
        <v>863672.70381704101</v>
      </c>
      <c r="R134" s="165">
        <f t="shared" si="27"/>
        <v>485548.05269106926</v>
      </c>
      <c r="S134" s="165">
        <f t="shared" si="28"/>
        <v>1349220.7565081103</v>
      </c>
      <c r="T134" s="165">
        <f t="shared" si="29"/>
        <v>3192608.880017898</v>
      </c>
      <c r="U134" s="165">
        <f t="shared" si="30"/>
        <v>1081358.2651214155</v>
      </c>
      <c r="V134" s="165">
        <f t="shared" si="31"/>
        <v>11827785.968974117</v>
      </c>
      <c r="W134" s="165">
        <f t="shared" si="32"/>
        <v>7011109.2797297388</v>
      </c>
      <c r="X134" s="166">
        <f t="shared" si="23"/>
        <v>8092467.5448511541</v>
      </c>
    </row>
    <row r="135" spans="4:24">
      <c r="D135" s="9" t="s">
        <v>1517</v>
      </c>
      <c r="E135" s="9" t="s">
        <v>2718</v>
      </c>
      <c r="F135" s="4" t="s">
        <v>1320</v>
      </c>
      <c r="G135" s="9" t="s">
        <v>3092</v>
      </c>
      <c r="H135" s="164">
        <v>11061734.043985866</v>
      </c>
      <c r="I135" s="165">
        <v>35319558.841115244</v>
      </c>
      <c r="J135" s="165">
        <v>5975823.6042273706</v>
      </c>
      <c r="K135" s="165">
        <v>6232369.4777635783</v>
      </c>
      <c r="L135" s="177">
        <f t="shared" si="24"/>
        <v>17037557.648213238</v>
      </c>
      <c r="M135" s="166">
        <f t="shared" si="25"/>
        <v>41551928.318878822</v>
      </c>
      <c r="N135" s="189">
        <f>INDEX('CHIRP Payment Calc'!AM:AM,MATCH(F135,'CHIRP Payment Calc'!C:C,0))</f>
        <v>0.94</v>
      </c>
      <c r="O135" s="189">
        <f>INDEX('CHIRP Payment Calc'!AL:AL,MATCH(FeeCalc!F135,'CHIRP Payment Calc'!C:C,0))</f>
        <v>1.3</v>
      </c>
      <c r="P135" s="164">
        <f t="shared" si="22"/>
        <v>70032811.003862917</v>
      </c>
      <c r="Q135" s="165">
        <f t="shared" si="26"/>
        <v>3435568.9638735284</v>
      </c>
      <c r="R135" s="165">
        <f t="shared" si="27"/>
        <v>875703.47930210945</v>
      </c>
      <c r="S135" s="165">
        <f t="shared" si="28"/>
        <v>4311272.4431756381</v>
      </c>
      <c r="T135" s="165">
        <f t="shared" si="29"/>
        <v>11032392.574373171</v>
      </c>
      <c r="U135" s="165">
        <f t="shared" si="30"/>
        <v>5975823.6042273706</v>
      </c>
      <c r="V135" s="165">
        <f t="shared" si="31"/>
        <v>48716632.884296887</v>
      </c>
      <c r="W135" s="165">
        <f t="shared" si="32"/>
        <v>8619234.3841411192</v>
      </c>
      <c r="X135" s="166">
        <f t="shared" si="23"/>
        <v>14595057.988368489</v>
      </c>
    </row>
    <row r="136" spans="4:24">
      <c r="D136" s="9" t="s">
        <v>1517</v>
      </c>
      <c r="E136" s="9" t="s">
        <v>2718</v>
      </c>
      <c r="F136" s="4" t="s">
        <v>1371</v>
      </c>
      <c r="G136" s="9" t="s">
        <v>3575</v>
      </c>
      <c r="H136" s="164">
        <v>6781471.280901012</v>
      </c>
      <c r="I136" s="165">
        <v>9199542.1075082086</v>
      </c>
      <c r="J136" s="165">
        <v>1876037.4395266064</v>
      </c>
      <c r="K136" s="165">
        <v>5655916.2402151767</v>
      </c>
      <c r="L136" s="177">
        <f t="shared" si="24"/>
        <v>8657508.7204276174</v>
      </c>
      <c r="M136" s="166">
        <f t="shared" si="25"/>
        <v>14855458.347723385</v>
      </c>
      <c r="N136" s="189">
        <f>INDEX('CHIRP Payment Calc'!AM:AM,MATCH(F136,'CHIRP Payment Calc'!C:C,0))</f>
        <v>1.31</v>
      </c>
      <c r="O136" s="189">
        <f>INDEX('CHIRP Payment Calc'!AL:AL,MATCH(FeeCalc!F136,'CHIRP Payment Calc'!C:C,0))</f>
        <v>2.37</v>
      </c>
      <c r="P136" s="164">
        <f t="shared" si="22"/>
        <v>46548772.707864597</v>
      </c>
      <c r="Q136" s="165">
        <f t="shared" si="26"/>
        <v>1872129.3633257824</v>
      </c>
      <c r="R136" s="165">
        <f t="shared" si="27"/>
        <v>1012476.4171333932</v>
      </c>
      <c r="S136" s="165">
        <f t="shared" si="28"/>
        <v>2884605.7804591758</v>
      </c>
      <c r="T136" s="165">
        <f t="shared" si="29"/>
        <v>9425705.4408279322</v>
      </c>
      <c r="U136" s="165">
        <f t="shared" si="30"/>
        <v>2614477.7082764409</v>
      </c>
      <c r="V136" s="165">
        <f t="shared" si="31"/>
        <v>23133066.09527263</v>
      </c>
      <c r="W136" s="165">
        <f t="shared" si="32"/>
        <v>14260129.243946778</v>
      </c>
      <c r="X136" s="166">
        <f t="shared" si="23"/>
        <v>16874606.952223219</v>
      </c>
    </row>
    <row r="137" spans="4:24">
      <c r="D137" s="9" t="s">
        <v>1517</v>
      </c>
      <c r="E137" s="9" t="s">
        <v>2718</v>
      </c>
      <c r="F137" s="4" t="s">
        <v>1159</v>
      </c>
      <c r="G137" s="9" t="s">
        <v>3576</v>
      </c>
      <c r="H137" s="164">
        <v>3157899.109582461</v>
      </c>
      <c r="I137" s="165">
        <v>5697576.1453733034</v>
      </c>
      <c r="J137" s="165">
        <v>991611.8718785299</v>
      </c>
      <c r="K137" s="165">
        <v>3982038.5052802372</v>
      </c>
      <c r="L137" s="177">
        <f t="shared" si="24"/>
        <v>4149510.9814609908</v>
      </c>
      <c r="M137" s="166">
        <f t="shared" si="25"/>
        <v>9679614.6506535411</v>
      </c>
      <c r="N137" s="189">
        <f>INDEX('CHIRP Payment Calc'!AM:AM,MATCH(F137,'CHIRP Payment Calc'!C:C,0))</f>
        <v>1.45</v>
      </c>
      <c r="O137" s="189">
        <f>INDEX('CHIRP Payment Calc'!AL:AL,MATCH(FeeCalc!F137,'CHIRP Payment Calc'!C:C,0))</f>
        <v>2.36</v>
      </c>
      <c r="P137" s="164">
        <f t="shared" si="22"/>
        <v>28860681.498660795</v>
      </c>
      <c r="Q137" s="165">
        <f t="shared" si="26"/>
        <v>1099682.6750011619</v>
      </c>
      <c r="R137" s="165">
        <f t="shared" si="27"/>
        <v>691624.34595863172</v>
      </c>
      <c r="S137" s="165">
        <f t="shared" si="28"/>
        <v>1791307.0209597936</v>
      </c>
      <c r="T137" s="165">
        <f t="shared" si="29"/>
        <v>4858306.3224345557</v>
      </c>
      <c r="U137" s="165">
        <f t="shared" si="30"/>
        <v>1529614.0576849664</v>
      </c>
      <c r="V137" s="165">
        <f t="shared" si="31"/>
        <v>14266609.764542172</v>
      </c>
      <c r="W137" s="165">
        <f t="shared" si="32"/>
        <v>9997458.3749588933</v>
      </c>
      <c r="X137" s="166">
        <f t="shared" si="23"/>
        <v>11527072.432643861</v>
      </c>
    </row>
    <row r="138" spans="4:24">
      <c r="D138" s="9" t="s">
        <v>1517</v>
      </c>
      <c r="E138" s="9" t="s">
        <v>2718</v>
      </c>
      <c r="F138" s="4" t="s">
        <v>591</v>
      </c>
      <c r="G138" s="9" t="s">
        <v>3433</v>
      </c>
      <c r="H138" s="164">
        <v>2086809.0263291593</v>
      </c>
      <c r="I138" s="165">
        <v>3821677.1607654132</v>
      </c>
      <c r="J138" s="165">
        <v>473578.71638559882</v>
      </c>
      <c r="K138" s="165">
        <v>1312604.4257724523</v>
      </c>
      <c r="L138" s="177">
        <f t="shared" si="24"/>
        <v>2560387.742714758</v>
      </c>
      <c r="M138" s="166">
        <f t="shared" si="25"/>
        <v>5134281.5865378659</v>
      </c>
      <c r="N138" s="189">
        <f>INDEX('CHIRP Payment Calc'!AM:AM,MATCH(F138,'CHIRP Payment Calc'!C:C,0))</f>
        <v>1.1099999999999999</v>
      </c>
      <c r="O138" s="189">
        <f>INDEX('CHIRP Payment Calc'!AL:AL,MATCH(FeeCalc!F138,'CHIRP Payment Calc'!C:C,0))</f>
        <v>1.38</v>
      </c>
      <c r="P138" s="164">
        <f t="shared" si="22"/>
        <v>9927338.9838356357</v>
      </c>
      <c r="Q138" s="165">
        <f t="shared" si="26"/>
        <v>463067.02261240757</v>
      </c>
      <c r="R138" s="165">
        <f t="shared" si="27"/>
        <v>149174.45634599993</v>
      </c>
      <c r="S138" s="165">
        <f t="shared" si="28"/>
        <v>612241.47895840753</v>
      </c>
      <c r="T138" s="165">
        <f t="shared" si="29"/>
        <v>2457674.2909552963</v>
      </c>
      <c r="U138" s="165">
        <f t="shared" si="30"/>
        <v>559225.93105107942</v>
      </c>
      <c r="V138" s="165">
        <f t="shared" si="31"/>
        <v>5595665.2327387473</v>
      </c>
      <c r="W138" s="165">
        <f t="shared" si="32"/>
        <v>1927015.0080489193</v>
      </c>
      <c r="X138" s="166">
        <f t="shared" si="23"/>
        <v>2486240.9390999987</v>
      </c>
    </row>
    <row r="139" spans="4:24">
      <c r="D139" s="9" t="s">
        <v>1517</v>
      </c>
      <c r="E139" s="9" t="s">
        <v>2718</v>
      </c>
      <c r="F139" s="4" t="s">
        <v>663</v>
      </c>
      <c r="G139" s="9" t="s">
        <v>3461</v>
      </c>
      <c r="H139" s="164">
        <v>194193.33827934114</v>
      </c>
      <c r="I139" s="165">
        <v>0</v>
      </c>
      <c r="J139" s="165">
        <v>138268.98621072216</v>
      </c>
      <c r="K139" s="165">
        <v>9598.0704715356314</v>
      </c>
      <c r="L139" s="177">
        <f t="shared" si="24"/>
        <v>332462.3244900633</v>
      </c>
      <c r="M139" s="166">
        <f t="shared" si="25"/>
        <v>9598.0704715356314</v>
      </c>
      <c r="N139" s="189">
        <f>INDEX('CHIRP Payment Calc'!AM:AM,MATCH(F139,'CHIRP Payment Calc'!C:C,0))</f>
        <v>1.1199999999999999</v>
      </c>
      <c r="O139" s="189">
        <f>INDEX('CHIRP Payment Calc'!AL:AL,MATCH(FeeCalc!F139,'CHIRP Payment Calc'!C:C,0))</f>
        <v>9.91</v>
      </c>
      <c r="P139" s="164">
        <f t="shared" si="22"/>
        <v>467474.68180178897</v>
      </c>
      <c r="Q139" s="165">
        <f t="shared" si="26"/>
        <v>13269.019612933231</v>
      </c>
      <c r="R139" s="165">
        <f t="shared" si="27"/>
        <v>15956.051676314486</v>
      </c>
      <c r="S139" s="165">
        <f t="shared" si="28"/>
        <v>29225.071289247717</v>
      </c>
      <c r="T139" s="165">
        <f t="shared" si="29"/>
        <v>230765.55848579531</v>
      </c>
      <c r="U139" s="165">
        <f t="shared" si="30"/>
        <v>164746.02612341364</v>
      </c>
      <c r="V139" s="165">
        <f t="shared" si="31"/>
        <v>0</v>
      </c>
      <c r="W139" s="165">
        <f t="shared" si="32"/>
        <v>101188.16848182779</v>
      </c>
      <c r="X139" s="166">
        <f t="shared" si="23"/>
        <v>265934.19460524141</v>
      </c>
    </row>
    <row r="140" spans="4:24">
      <c r="D140" s="9" t="s">
        <v>1517</v>
      </c>
      <c r="E140" s="9" t="s">
        <v>2718</v>
      </c>
      <c r="F140" s="4" t="s">
        <v>793</v>
      </c>
      <c r="G140" s="9" t="s">
        <v>3457</v>
      </c>
      <c r="H140" s="164">
        <v>6120730.8335381532</v>
      </c>
      <c r="I140" s="165">
        <v>3424098.1918159602</v>
      </c>
      <c r="J140" s="165">
        <v>1373226.3757711714</v>
      </c>
      <c r="K140" s="165">
        <v>588571.73041143129</v>
      </c>
      <c r="L140" s="177">
        <f t="shared" si="24"/>
        <v>7493957.2093093246</v>
      </c>
      <c r="M140" s="166">
        <f t="shared" si="25"/>
        <v>4012669.9222273915</v>
      </c>
      <c r="N140" s="189">
        <f>INDEX('CHIRP Payment Calc'!AM:AM,MATCH(F140,'CHIRP Payment Calc'!C:C,0))</f>
        <v>1.24</v>
      </c>
      <c r="O140" s="189">
        <f>INDEX('CHIRP Payment Calc'!AL:AL,MATCH(FeeCalc!F140,'CHIRP Payment Calc'!C:C,0))</f>
        <v>2.25</v>
      </c>
      <c r="P140" s="164">
        <f t="shared" si="22"/>
        <v>18321014.264555193</v>
      </c>
      <c r="Q140" s="165">
        <f t="shared" si="26"/>
        <v>933051.25941375084</v>
      </c>
      <c r="R140" s="165">
        <f t="shared" si="27"/>
        <v>193218.32549246636</v>
      </c>
      <c r="S140" s="165">
        <f t="shared" si="28"/>
        <v>1126269.5849062172</v>
      </c>
      <c r="T140" s="165">
        <f t="shared" si="29"/>
        <v>8052738.7093764562</v>
      </c>
      <c r="U140" s="165">
        <f t="shared" si="30"/>
        <v>1811490.1127194175</v>
      </c>
      <c r="V140" s="165">
        <f t="shared" si="31"/>
        <v>8174239.7152105151</v>
      </c>
      <c r="W140" s="165">
        <f t="shared" si="32"/>
        <v>1408815.3121550218</v>
      </c>
      <c r="X140" s="166">
        <f t="shared" si="23"/>
        <v>3220305.4248744394</v>
      </c>
    </row>
    <row r="141" spans="4:24">
      <c r="D141" s="9" t="s">
        <v>1517</v>
      </c>
      <c r="E141" s="9" t="s">
        <v>2718</v>
      </c>
      <c r="F141" s="4" t="s">
        <v>790</v>
      </c>
      <c r="G141" s="9" t="s">
        <v>2977</v>
      </c>
      <c r="H141" s="164">
        <v>4530670.9346239688</v>
      </c>
      <c r="I141" s="165">
        <v>6040522.6831693789</v>
      </c>
      <c r="J141" s="165">
        <v>1748431.5166139847</v>
      </c>
      <c r="K141" s="165">
        <v>2999263.0452537588</v>
      </c>
      <c r="L141" s="177">
        <f t="shared" si="24"/>
        <v>6279102.4512379533</v>
      </c>
      <c r="M141" s="166">
        <f t="shared" si="25"/>
        <v>9039785.7284231372</v>
      </c>
      <c r="N141" s="189">
        <f>INDEX('CHIRP Payment Calc'!AM:AM,MATCH(F141,'CHIRP Payment Calc'!C:C,0))</f>
        <v>1.7</v>
      </c>
      <c r="O141" s="189">
        <f>INDEX('CHIRP Payment Calc'!AL:AL,MATCH(FeeCalc!F141,'CHIRP Payment Calc'!C:C,0))</f>
        <v>2.58</v>
      </c>
      <c r="P141" s="164">
        <f t="shared" si="22"/>
        <v>33997121.346436217</v>
      </c>
      <c r="Q141" s="165">
        <f t="shared" si="26"/>
        <v>1420673.3410160958</v>
      </c>
      <c r="R141" s="165">
        <f t="shared" si="27"/>
        <v>683644.61074458342</v>
      </c>
      <c r="S141" s="165">
        <f t="shared" si="28"/>
        <v>2104317.9517606795</v>
      </c>
      <c r="T141" s="165">
        <f t="shared" si="29"/>
        <v>8172032.4550246643</v>
      </c>
      <c r="U141" s="165">
        <f t="shared" si="30"/>
        <v>3162056.9981316742</v>
      </c>
      <c r="V141" s="165">
        <f t="shared" si="31"/>
        <v>16535329.997429175</v>
      </c>
      <c r="W141" s="165">
        <f t="shared" si="32"/>
        <v>8232019.8476113817</v>
      </c>
      <c r="X141" s="166">
        <f t="shared" si="23"/>
        <v>11394076.845743056</v>
      </c>
    </row>
    <row r="142" spans="4:24">
      <c r="D142" s="9" t="s">
        <v>1517</v>
      </c>
      <c r="E142" s="9" t="s">
        <v>2718</v>
      </c>
      <c r="F142" s="4" t="s">
        <v>642</v>
      </c>
      <c r="G142" s="9" t="s">
        <v>3143</v>
      </c>
      <c r="H142" s="164">
        <v>4430909.3342305832</v>
      </c>
      <c r="I142" s="165">
        <v>7618121.7199392989</v>
      </c>
      <c r="J142" s="165">
        <v>928105.75313998631</v>
      </c>
      <c r="K142" s="165">
        <v>2528169.2470737668</v>
      </c>
      <c r="L142" s="177">
        <f t="shared" si="24"/>
        <v>5359015.0873705698</v>
      </c>
      <c r="M142" s="166">
        <f t="shared" si="25"/>
        <v>10146290.967013065</v>
      </c>
      <c r="N142" s="189">
        <f>INDEX('CHIRP Payment Calc'!AM:AM,MATCH(F142,'CHIRP Payment Calc'!C:C,0))</f>
        <v>1.0699999999999998</v>
      </c>
      <c r="O142" s="189">
        <f>INDEX('CHIRP Payment Calc'!AL:AL,MATCH(FeeCalc!F142,'CHIRP Payment Calc'!C:C,0))</f>
        <v>1.8399999999999999</v>
      </c>
      <c r="P142" s="164">
        <f t="shared" si="22"/>
        <v>24403321.522790544</v>
      </c>
      <c r="Q142" s="165">
        <f t="shared" si="26"/>
        <v>1144412.7053136493</v>
      </c>
      <c r="R142" s="165">
        <f t="shared" si="27"/>
        <v>360313.05768992659</v>
      </c>
      <c r="S142" s="165">
        <f t="shared" si="28"/>
        <v>1504725.7630035758</v>
      </c>
      <c r="T142" s="165">
        <f t="shared" si="29"/>
        <v>5030316.1672432078</v>
      </c>
      <c r="U142" s="165">
        <f t="shared" si="30"/>
        <v>1056460.8041061545</v>
      </c>
      <c r="V142" s="165">
        <f t="shared" si="31"/>
        <v>14872513.490385473</v>
      </c>
      <c r="W142" s="165">
        <f t="shared" si="32"/>
        <v>4948756.824059288</v>
      </c>
      <c r="X142" s="166">
        <f t="shared" si="23"/>
        <v>6005217.6281654425</v>
      </c>
    </row>
    <row r="143" spans="4:24">
      <c r="D143" s="9" t="s">
        <v>1517</v>
      </c>
      <c r="E143" s="9" t="s">
        <v>2718</v>
      </c>
      <c r="F143" s="4" t="s">
        <v>1709</v>
      </c>
      <c r="G143" s="9" t="s">
        <v>3459</v>
      </c>
      <c r="H143" s="164">
        <v>17838251.671065461</v>
      </c>
      <c r="I143" s="165">
        <v>12469983.868254699</v>
      </c>
      <c r="J143" s="165">
        <v>3064716.0442845663</v>
      </c>
      <c r="K143" s="165">
        <v>6085994.116525677</v>
      </c>
      <c r="L143" s="177">
        <f t="shared" si="24"/>
        <v>20902967.715350028</v>
      </c>
      <c r="M143" s="166">
        <f t="shared" si="25"/>
        <v>18555977.984780375</v>
      </c>
      <c r="N143" s="189">
        <f>INDEX('CHIRP Payment Calc'!AM:AM,MATCH(F143,'CHIRP Payment Calc'!C:C,0))</f>
        <v>1.1599999999999999</v>
      </c>
      <c r="O143" s="189">
        <f>INDEX('CHIRP Payment Calc'!AL:AL,MATCH(FeeCalc!F143,'CHIRP Payment Calc'!C:C,0))</f>
        <v>1.95</v>
      </c>
      <c r="P143" s="164">
        <f t="shared" si="22"/>
        <v>60431599.620127767</v>
      </c>
      <c r="Q143" s="165">
        <f t="shared" si="26"/>
        <v>2745897.4299078239</v>
      </c>
      <c r="R143" s="165">
        <f t="shared" si="27"/>
        <v>984431.434378415</v>
      </c>
      <c r="S143" s="165">
        <f t="shared" si="28"/>
        <v>3730328.8642862388</v>
      </c>
      <c r="T143" s="165">
        <f t="shared" si="29"/>
        <v>21954771.287465181</v>
      </c>
      <c r="U143" s="165">
        <f t="shared" si="30"/>
        <v>3781990.0120958476</v>
      </c>
      <c r="V143" s="165">
        <f t="shared" si="31"/>
        <v>25799966.62397524</v>
      </c>
      <c r="W143" s="165">
        <f t="shared" si="32"/>
        <v>12625200.560877735</v>
      </c>
      <c r="X143" s="166">
        <f t="shared" si="23"/>
        <v>16407190.572973583</v>
      </c>
    </row>
    <row r="144" spans="4:24">
      <c r="D144" s="9" t="s">
        <v>1517</v>
      </c>
      <c r="E144" s="9" t="s">
        <v>2718</v>
      </c>
      <c r="F144" s="4" t="s">
        <v>775</v>
      </c>
      <c r="G144" s="9" t="s">
        <v>2870</v>
      </c>
      <c r="H144" s="164">
        <v>1678873.6306500218</v>
      </c>
      <c r="I144" s="165">
        <v>2332316.0108508854</v>
      </c>
      <c r="J144" s="165">
        <v>508808.14032826648</v>
      </c>
      <c r="K144" s="165">
        <v>1384441.2523396588</v>
      </c>
      <c r="L144" s="177">
        <f t="shared" si="24"/>
        <v>2187681.7709782883</v>
      </c>
      <c r="M144" s="166">
        <f t="shared" si="25"/>
        <v>3716757.2631905442</v>
      </c>
      <c r="N144" s="189">
        <f>INDEX('CHIRP Payment Calc'!AM:AM,MATCH(F144,'CHIRP Payment Calc'!C:C,0))</f>
        <v>1.3399999999999999</v>
      </c>
      <c r="O144" s="189">
        <f>INDEX('CHIRP Payment Calc'!AL:AL,MATCH(FeeCalc!F144,'CHIRP Payment Calc'!C:C,0))</f>
        <v>2.16</v>
      </c>
      <c r="P144" s="164">
        <f t="shared" si="22"/>
        <v>10959689.261602482</v>
      </c>
      <c r="Q144" s="165">
        <f t="shared" si="26"/>
        <v>444595.07882150041</v>
      </c>
      <c r="R144" s="165">
        <f t="shared" si="27"/>
        <v>234395.49019746005</v>
      </c>
      <c r="S144" s="165">
        <f t="shared" si="28"/>
        <v>678990.56901896046</v>
      </c>
      <c r="T144" s="165">
        <f t="shared" si="29"/>
        <v>2386939.6976880943</v>
      </c>
      <c r="U144" s="165">
        <f t="shared" si="30"/>
        <v>725322.24259561393</v>
      </c>
      <c r="V144" s="165">
        <f t="shared" si="31"/>
        <v>5345148.6296423478</v>
      </c>
      <c r="W144" s="165">
        <f t="shared" si="32"/>
        <v>3181269.2606953867</v>
      </c>
      <c r="X144" s="166">
        <f t="shared" si="23"/>
        <v>3906591.5032910006</v>
      </c>
    </row>
    <row r="145" spans="4:24">
      <c r="D145" s="9" t="s">
        <v>1517</v>
      </c>
      <c r="E145" s="9" t="s">
        <v>2718</v>
      </c>
      <c r="F145" s="4" t="s">
        <v>163</v>
      </c>
      <c r="G145" s="9" t="s">
        <v>3323</v>
      </c>
      <c r="H145" s="164">
        <v>1062805.8094271901</v>
      </c>
      <c r="I145" s="165">
        <v>1034519.1989040244</v>
      </c>
      <c r="J145" s="165">
        <v>354491.49563912244</v>
      </c>
      <c r="K145" s="165">
        <v>1323469.7326372131</v>
      </c>
      <c r="L145" s="177">
        <f t="shared" si="24"/>
        <v>1417297.3050663127</v>
      </c>
      <c r="M145" s="166">
        <f t="shared" si="25"/>
        <v>2357988.9315412375</v>
      </c>
      <c r="N145" s="189">
        <f>INDEX('CHIRP Payment Calc'!AM:AM,MATCH(F145,'CHIRP Payment Calc'!C:C,0))</f>
        <v>1.24</v>
      </c>
      <c r="O145" s="189">
        <f>INDEX('CHIRP Payment Calc'!AL:AL,MATCH(FeeCalc!F145,'CHIRP Payment Calc'!C:C,0))</f>
        <v>1.21</v>
      </c>
      <c r="P145" s="164">
        <f t="shared" si="22"/>
        <v>4610615.2654471248</v>
      </c>
      <c r="Q145" s="165">
        <f t="shared" si="26"/>
        <v>156768.94161899859</v>
      </c>
      <c r="R145" s="165">
        <f t="shared" si="27"/>
        <v>130274.54240958767</v>
      </c>
      <c r="S145" s="165">
        <f t="shared" si="28"/>
        <v>287043.48402858624</v>
      </c>
      <c r="T145" s="165">
        <f t="shared" si="29"/>
        <v>1398280.3222172051</v>
      </c>
      <c r="U145" s="165">
        <f t="shared" si="30"/>
        <v>467627.07935373602</v>
      </c>
      <c r="V145" s="165">
        <f t="shared" si="31"/>
        <v>1328136.0537653789</v>
      </c>
      <c r="W145" s="165">
        <f t="shared" si="32"/>
        <v>1703615.2941393915</v>
      </c>
      <c r="X145" s="166">
        <f t="shared" si="23"/>
        <v>2171242.3734931275</v>
      </c>
    </row>
    <row r="146" spans="4:24">
      <c r="D146" s="9" t="s">
        <v>1555</v>
      </c>
      <c r="E146" s="9" t="s">
        <v>2768</v>
      </c>
      <c r="F146" s="4" t="s">
        <v>799</v>
      </c>
      <c r="G146" s="9" t="s">
        <v>3434</v>
      </c>
      <c r="H146" s="164">
        <v>1033240.0122916892</v>
      </c>
      <c r="I146" s="165">
        <v>56306.208058655771</v>
      </c>
      <c r="J146" s="165">
        <v>367974.36825659714</v>
      </c>
      <c r="K146" s="165">
        <v>45944.967078340211</v>
      </c>
      <c r="L146" s="177">
        <f t="shared" si="24"/>
        <v>1401214.3805482863</v>
      </c>
      <c r="M146" s="166">
        <f t="shared" si="25"/>
        <v>102251.17513699598</v>
      </c>
      <c r="N146" s="189">
        <f>INDEX('CHIRP Payment Calc'!AM:AM,MATCH(F146,'CHIRP Payment Calc'!C:C,0))</f>
        <v>0.39</v>
      </c>
      <c r="O146" s="189">
        <f>INDEX('CHIRP Payment Calc'!AL:AL,MATCH(FeeCalc!F146,'CHIRP Payment Calc'!C:C,0))</f>
        <v>0</v>
      </c>
      <c r="P146" s="164">
        <f t="shared" si="22"/>
        <v>546473.60841383168</v>
      </c>
      <c r="Q146" s="165">
        <f t="shared" si="26"/>
        <v>24583.986499353981</v>
      </c>
      <c r="R146" s="165">
        <f t="shared" si="27"/>
        <v>9160.2129970259302</v>
      </c>
      <c r="S146" s="165">
        <f t="shared" si="28"/>
        <v>33744.199496379908</v>
      </c>
      <c r="T146" s="165">
        <f t="shared" si="29"/>
        <v>427547.59129311272</v>
      </c>
      <c r="U146" s="165">
        <f t="shared" si="30"/>
        <v>152670.21661709883</v>
      </c>
      <c r="V146" s="165">
        <f t="shared" si="31"/>
        <v>0</v>
      </c>
      <c r="W146" s="165">
        <f t="shared" si="32"/>
        <v>0</v>
      </c>
      <c r="X146" s="166">
        <f t="shared" si="23"/>
        <v>152670.21661709883</v>
      </c>
    </row>
    <row r="147" spans="4:24">
      <c r="D147" s="9" t="s">
        <v>1555</v>
      </c>
      <c r="E147" s="9" t="s">
        <v>2768</v>
      </c>
      <c r="F147" s="4" t="s">
        <v>528</v>
      </c>
      <c r="G147" s="9" t="s">
        <v>3529</v>
      </c>
      <c r="H147" s="164">
        <v>439811.31015506206</v>
      </c>
      <c r="I147" s="165">
        <v>14959.984404641373</v>
      </c>
      <c r="J147" s="165">
        <v>97390.030923298909</v>
      </c>
      <c r="K147" s="165">
        <v>38235.520239948964</v>
      </c>
      <c r="L147" s="177">
        <f t="shared" si="24"/>
        <v>537201.34107836103</v>
      </c>
      <c r="M147" s="166">
        <f t="shared" si="25"/>
        <v>53195.504644590335</v>
      </c>
      <c r="N147" s="189">
        <f>INDEX('CHIRP Payment Calc'!AM:AM,MATCH(F147,'CHIRP Payment Calc'!C:C,0))</f>
        <v>0.39</v>
      </c>
      <c r="O147" s="189">
        <f>INDEX('CHIRP Payment Calc'!AL:AL,MATCH(FeeCalc!F147,'CHIRP Payment Calc'!C:C,0))</f>
        <v>0</v>
      </c>
      <c r="P147" s="164">
        <f t="shared" si="22"/>
        <v>209508.52302056079</v>
      </c>
      <c r="Q147" s="165">
        <f t="shared" si="26"/>
        <v>10464.476000241133</v>
      </c>
      <c r="R147" s="165">
        <f t="shared" si="27"/>
        <v>2424.390131494888</v>
      </c>
      <c r="S147" s="165">
        <f t="shared" si="28"/>
        <v>12888.86613173602</v>
      </c>
      <c r="T147" s="165">
        <f t="shared" si="29"/>
        <v>181990.88696071535</v>
      </c>
      <c r="U147" s="165">
        <f t="shared" si="30"/>
        <v>40406.502191581465</v>
      </c>
      <c r="V147" s="165">
        <f t="shared" si="31"/>
        <v>0</v>
      </c>
      <c r="W147" s="165">
        <f t="shared" si="32"/>
        <v>0</v>
      </c>
      <c r="X147" s="166">
        <f t="shared" si="23"/>
        <v>40406.502191581465</v>
      </c>
    </row>
    <row r="148" spans="4:24">
      <c r="D148" s="9" t="s">
        <v>1555</v>
      </c>
      <c r="E148" s="9" t="s">
        <v>2768</v>
      </c>
      <c r="F148" s="4" t="s">
        <v>1150</v>
      </c>
      <c r="G148" s="9" t="s">
        <v>3580</v>
      </c>
      <c r="H148" s="164">
        <v>495629.99417205516</v>
      </c>
      <c r="I148" s="165">
        <v>10068.617591564816</v>
      </c>
      <c r="J148" s="165">
        <v>107537.6119334485</v>
      </c>
      <c r="K148" s="165">
        <v>36038.024432091253</v>
      </c>
      <c r="L148" s="177">
        <f t="shared" si="24"/>
        <v>603167.60610550363</v>
      </c>
      <c r="M148" s="166">
        <f t="shared" si="25"/>
        <v>46106.642023656066</v>
      </c>
      <c r="N148" s="189">
        <f>INDEX('CHIRP Payment Calc'!AM:AM,MATCH(F148,'CHIRP Payment Calc'!C:C,0))</f>
        <v>0.39</v>
      </c>
      <c r="O148" s="189">
        <f>INDEX('CHIRP Payment Calc'!AL:AL,MATCH(FeeCalc!F148,'CHIRP Payment Calc'!C:C,0))</f>
        <v>0</v>
      </c>
      <c r="P148" s="164">
        <f t="shared" si="22"/>
        <v>235235.36638114642</v>
      </c>
      <c r="Q148" s="165">
        <f t="shared" si="26"/>
        <v>11792.57572340407</v>
      </c>
      <c r="R148" s="165">
        <f t="shared" si="27"/>
        <v>2677.0001268539309</v>
      </c>
      <c r="S148" s="165">
        <f t="shared" si="28"/>
        <v>14469.575850258001</v>
      </c>
      <c r="T148" s="165">
        <f t="shared" si="29"/>
        <v>205088.27345050557</v>
      </c>
      <c r="U148" s="165">
        <f t="shared" si="30"/>
        <v>44616.668780898843</v>
      </c>
      <c r="V148" s="165">
        <f t="shared" si="31"/>
        <v>0</v>
      </c>
      <c r="W148" s="165">
        <f t="shared" si="32"/>
        <v>0</v>
      </c>
      <c r="X148" s="166">
        <f t="shared" si="23"/>
        <v>44616.668780898843</v>
      </c>
    </row>
    <row r="149" spans="4:24">
      <c r="D149" s="9" t="s">
        <v>1555</v>
      </c>
      <c r="E149" s="9" t="s">
        <v>2768</v>
      </c>
      <c r="F149" s="4" t="s">
        <v>600</v>
      </c>
      <c r="G149" s="9" t="s">
        <v>601</v>
      </c>
      <c r="H149" s="164">
        <v>1212811.9942174831</v>
      </c>
      <c r="I149" s="165">
        <v>91839.01960497188</v>
      </c>
      <c r="J149" s="165">
        <v>548183.03187987243</v>
      </c>
      <c r="K149" s="165">
        <v>417001.54972642387</v>
      </c>
      <c r="L149" s="177">
        <f t="shared" si="24"/>
        <v>1760995.0260973554</v>
      </c>
      <c r="M149" s="166">
        <f t="shared" si="25"/>
        <v>508840.56933139573</v>
      </c>
      <c r="N149" s="189">
        <f>INDEX('CHIRP Payment Calc'!AM:AM,MATCH(F149,'CHIRP Payment Calc'!C:C,0))</f>
        <v>0.83000000000000007</v>
      </c>
      <c r="O149" s="189">
        <f>INDEX('CHIRP Payment Calc'!AL:AL,MATCH(FeeCalc!F149,'CHIRP Payment Calc'!C:C,0))</f>
        <v>0</v>
      </c>
      <c r="P149" s="164">
        <f t="shared" si="22"/>
        <v>1461625.8716608051</v>
      </c>
      <c r="Q149" s="165">
        <f t="shared" si="26"/>
        <v>61412.681617007307</v>
      </c>
      <c r="R149" s="165">
        <f t="shared" si="27"/>
        <v>29042.037220869843</v>
      </c>
      <c r="S149" s="165">
        <f t="shared" si="28"/>
        <v>90454.718837877153</v>
      </c>
      <c r="T149" s="165">
        <f t="shared" si="29"/>
        <v>1068046.6368175184</v>
      </c>
      <c r="U149" s="165">
        <f t="shared" si="30"/>
        <v>484033.95368116401</v>
      </c>
      <c r="V149" s="165">
        <f t="shared" si="31"/>
        <v>0</v>
      </c>
      <c r="W149" s="165">
        <f t="shared" si="32"/>
        <v>0</v>
      </c>
      <c r="X149" s="166">
        <f t="shared" si="23"/>
        <v>484033.95368116401</v>
      </c>
    </row>
    <row r="150" spans="4:24">
      <c r="D150" s="9" t="s">
        <v>1555</v>
      </c>
      <c r="E150" s="9" t="s">
        <v>2768</v>
      </c>
      <c r="F150" s="4" t="s">
        <v>848</v>
      </c>
      <c r="G150" s="9" t="s">
        <v>3522</v>
      </c>
      <c r="H150" s="164">
        <v>1458005.2229562472</v>
      </c>
      <c r="I150" s="165">
        <v>1202167.8562126912</v>
      </c>
      <c r="J150" s="165">
        <v>799071.60248683661</v>
      </c>
      <c r="K150" s="165">
        <v>357791.356895214</v>
      </c>
      <c r="L150" s="177">
        <f t="shared" si="24"/>
        <v>2257076.8254430839</v>
      </c>
      <c r="M150" s="166">
        <f t="shared" si="25"/>
        <v>1559959.2131079051</v>
      </c>
      <c r="N150" s="189">
        <f>INDEX('CHIRP Payment Calc'!AM:AM,MATCH(F150,'CHIRP Payment Calc'!C:C,0))</f>
        <v>1.1600000000000001</v>
      </c>
      <c r="O150" s="189">
        <f>INDEX('CHIRP Payment Calc'!AL:AL,MATCH(FeeCalc!F150,'CHIRP Payment Calc'!C:C,0))</f>
        <v>0</v>
      </c>
      <c r="P150" s="164">
        <f t="shared" si="22"/>
        <v>2618209.1175139775</v>
      </c>
      <c r="Q150" s="165">
        <f t="shared" si="26"/>
        <v>103181.90808613443</v>
      </c>
      <c r="R150" s="165">
        <f t="shared" si="27"/>
        <v>59165.301630940259</v>
      </c>
      <c r="S150" s="165">
        <f t="shared" si="28"/>
        <v>162347.2097170747</v>
      </c>
      <c r="T150" s="165">
        <f t="shared" si="29"/>
        <v>1794467.9667153812</v>
      </c>
      <c r="U150" s="165">
        <f t="shared" si="30"/>
        <v>986088.36051567085</v>
      </c>
      <c r="V150" s="165">
        <f t="shared" si="31"/>
        <v>0</v>
      </c>
      <c r="W150" s="165">
        <f t="shared" si="32"/>
        <v>0</v>
      </c>
      <c r="X150" s="166">
        <f t="shared" si="23"/>
        <v>986088.36051567085</v>
      </c>
    </row>
    <row r="151" spans="4:24">
      <c r="D151" s="9" t="s">
        <v>1555</v>
      </c>
      <c r="E151" s="9" t="s">
        <v>2718</v>
      </c>
      <c r="F151" s="4" t="s">
        <v>504</v>
      </c>
      <c r="G151" s="9" t="s">
        <v>2954</v>
      </c>
      <c r="H151" s="164">
        <v>2739650.7865815051</v>
      </c>
      <c r="I151" s="165">
        <v>3945454.7065631216</v>
      </c>
      <c r="J151" s="165">
        <v>2323486.0667303754</v>
      </c>
      <c r="K151" s="165">
        <v>2881710.4985720329</v>
      </c>
      <c r="L151" s="177">
        <f t="shared" si="24"/>
        <v>5063136.8533118805</v>
      </c>
      <c r="M151" s="166">
        <f t="shared" si="25"/>
        <v>6827165.2051351545</v>
      </c>
      <c r="N151" s="189">
        <f>INDEX('CHIRP Payment Calc'!AM:AM,MATCH(F151,'CHIRP Payment Calc'!C:C,0))</f>
        <v>2.11</v>
      </c>
      <c r="O151" s="189">
        <f>INDEX('CHIRP Payment Calc'!AL:AL,MATCH(FeeCalc!F151,'CHIRP Payment Calc'!C:C,0))</f>
        <v>1.34</v>
      </c>
      <c r="P151" s="164">
        <f t="shared" si="22"/>
        <v>19831620.135369174</v>
      </c>
      <c r="Q151" s="165">
        <f t="shared" si="26"/>
        <v>675209.99132380856</v>
      </c>
      <c r="R151" s="165">
        <f t="shared" si="27"/>
        <v>559407.2980141032</v>
      </c>
      <c r="S151" s="165">
        <f t="shared" si="28"/>
        <v>1234617.2893379116</v>
      </c>
      <c r="T151" s="165">
        <f t="shared" si="29"/>
        <v>6133329.612399973</v>
      </c>
      <c r="U151" s="165">
        <f t="shared" si="30"/>
        <v>5215484.681703289</v>
      </c>
      <c r="V151" s="165">
        <f t="shared" si="31"/>
        <v>5609452.8454053933</v>
      </c>
      <c r="W151" s="165">
        <f t="shared" si="32"/>
        <v>4107970.2851984305</v>
      </c>
      <c r="X151" s="166">
        <f t="shared" si="23"/>
        <v>9323454.9669017196</v>
      </c>
    </row>
    <row r="152" spans="4:24">
      <c r="D152" s="9" t="s">
        <v>1555</v>
      </c>
      <c r="E152" s="9" t="s">
        <v>2718</v>
      </c>
      <c r="F152" s="4" t="s">
        <v>2736</v>
      </c>
      <c r="G152" s="9" t="s">
        <v>2159</v>
      </c>
      <c r="H152" s="164">
        <v>692881.61979198351</v>
      </c>
      <c r="I152" s="165">
        <v>426649.98075339664</v>
      </c>
      <c r="J152" s="165">
        <v>451636.99045963591</v>
      </c>
      <c r="K152" s="165">
        <v>769699.99407464243</v>
      </c>
      <c r="L152" s="177">
        <f t="shared" si="24"/>
        <v>1144518.6102516195</v>
      </c>
      <c r="M152" s="166">
        <f t="shared" si="25"/>
        <v>1196349.9748280391</v>
      </c>
      <c r="N152" s="189">
        <f>INDEX('CHIRP Payment Calc'!AM:AM,MATCH(F152,'CHIRP Payment Calc'!C:C,0))</f>
        <v>1.78</v>
      </c>
      <c r="O152" s="189">
        <f>INDEX('CHIRP Payment Calc'!AL:AL,MATCH(FeeCalc!F152,'CHIRP Payment Calc'!C:C,0))</f>
        <v>1.48</v>
      </c>
      <c r="P152" s="164">
        <f t="shared" si="22"/>
        <v>3807841.0889933803</v>
      </c>
      <c r="Q152" s="165">
        <f t="shared" si="26"/>
        <v>113765.88556798256</v>
      </c>
      <c r="R152" s="165">
        <f t="shared" si="27"/>
        <v>124025.73410097594</v>
      </c>
      <c r="S152" s="165">
        <f t="shared" si="28"/>
        <v>237791.6196689585</v>
      </c>
      <c r="T152" s="165">
        <f t="shared" si="29"/>
        <v>1308572.1837981227</v>
      </c>
      <c r="U152" s="165">
        <f t="shared" si="30"/>
        <v>855227.49257250212</v>
      </c>
      <c r="V152" s="165">
        <f t="shared" si="31"/>
        <v>669964.95651461754</v>
      </c>
      <c r="W152" s="165">
        <f t="shared" si="32"/>
        <v>1211868.0757770967</v>
      </c>
      <c r="X152" s="166">
        <f t="shared" si="23"/>
        <v>2067095.5683495989</v>
      </c>
    </row>
    <row r="153" spans="4:24">
      <c r="D153" s="9" t="s">
        <v>1555</v>
      </c>
      <c r="E153" s="9" t="s">
        <v>2718</v>
      </c>
      <c r="F153" s="4" t="s">
        <v>594</v>
      </c>
      <c r="G153" s="9" t="s">
        <v>595</v>
      </c>
      <c r="H153" s="164">
        <v>3727554.4037747486</v>
      </c>
      <c r="I153" s="165">
        <v>4733202.953634847</v>
      </c>
      <c r="J153" s="165">
        <v>2693634.0021933326</v>
      </c>
      <c r="K153" s="165">
        <v>3845896.9742303207</v>
      </c>
      <c r="L153" s="177">
        <f t="shared" si="24"/>
        <v>6421188.4059680812</v>
      </c>
      <c r="M153" s="166">
        <f t="shared" si="25"/>
        <v>8579099.9278651681</v>
      </c>
      <c r="N153" s="189">
        <f>INDEX('CHIRP Payment Calc'!AM:AM,MATCH(F153,'CHIRP Payment Calc'!C:C,0))</f>
        <v>1.99</v>
      </c>
      <c r="O153" s="189">
        <f>INDEX('CHIRP Payment Calc'!AL:AL,MATCH(FeeCalc!F153,'CHIRP Payment Calc'!C:C,0))</f>
        <v>2.17</v>
      </c>
      <c r="P153" s="164">
        <f t="shared" si="22"/>
        <v>31394811.771343894</v>
      </c>
      <c r="Q153" s="165">
        <f t="shared" si="26"/>
        <v>1079162.6643943912</v>
      </c>
      <c r="R153" s="165">
        <f t="shared" si="27"/>
        <v>874846.47436879983</v>
      </c>
      <c r="S153" s="165">
        <f t="shared" si="28"/>
        <v>1954009.1387631912</v>
      </c>
      <c r="T153" s="165">
        <f t="shared" si="29"/>
        <v>7870380.1204368696</v>
      </c>
      <c r="U153" s="165">
        <f t="shared" si="30"/>
        <v>5702480.4940050347</v>
      </c>
      <c r="V153" s="165">
        <f t="shared" si="31"/>
        <v>10897666.216856888</v>
      </c>
      <c r="W153" s="165">
        <f t="shared" si="32"/>
        <v>8878294.0788082946</v>
      </c>
      <c r="X153" s="166">
        <f t="shared" si="23"/>
        <v>14580774.572813328</v>
      </c>
    </row>
    <row r="154" spans="4:24">
      <c r="D154" s="9" t="s">
        <v>1555</v>
      </c>
      <c r="E154" s="9" t="s">
        <v>2718</v>
      </c>
      <c r="F154" s="4" t="s">
        <v>1135</v>
      </c>
      <c r="G154" s="9" t="s">
        <v>3369</v>
      </c>
      <c r="H154" s="164">
        <v>1736620.630160576</v>
      </c>
      <c r="I154" s="165">
        <v>2276290.0370750241</v>
      </c>
      <c r="J154" s="165">
        <v>618185.02247796778</v>
      </c>
      <c r="K154" s="165">
        <v>960999.37629292149</v>
      </c>
      <c r="L154" s="177">
        <f t="shared" si="24"/>
        <v>2354805.6526385439</v>
      </c>
      <c r="M154" s="166">
        <f t="shared" si="25"/>
        <v>3237289.4133679457</v>
      </c>
      <c r="N154" s="189">
        <f>INDEX('CHIRP Payment Calc'!AM:AM,MATCH(F154,'CHIRP Payment Calc'!C:C,0))</f>
        <v>2.4699999999999998</v>
      </c>
      <c r="O154" s="189">
        <f>INDEX('CHIRP Payment Calc'!AL:AL,MATCH(FeeCalc!F154,'CHIRP Payment Calc'!C:C,0))</f>
        <v>2.46</v>
      </c>
      <c r="P154" s="164">
        <f t="shared" si="22"/>
        <v>13780101.918902349</v>
      </c>
      <c r="Q154" s="165">
        <f t="shared" si="26"/>
        <v>603315.40662367956</v>
      </c>
      <c r="R154" s="165">
        <f t="shared" si="27"/>
        <v>248360.13645964899</v>
      </c>
      <c r="S154" s="165">
        <f t="shared" si="28"/>
        <v>851675.54308332852</v>
      </c>
      <c r="T154" s="165">
        <f t="shared" si="29"/>
        <v>4551143.7204208197</v>
      </c>
      <c r="U154" s="165">
        <f t="shared" si="30"/>
        <v>1624379.7931070004</v>
      </c>
      <c r="V154" s="165">
        <f t="shared" si="31"/>
        <v>5941298.1339040417</v>
      </c>
      <c r="W154" s="165">
        <f t="shared" si="32"/>
        <v>2514955.8145538159</v>
      </c>
      <c r="X154" s="166">
        <f t="shared" si="23"/>
        <v>4139335.6076608161</v>
      </c>
    </row>
    <row r="155" spans="4:24">
      <c r="D155" s="9" t="s">
        <v>1530</v>
      </c>
      <c r="E155" s="9" t="s">
        <v>1552</v>
      </c>
      <c r="F155" s="4" t="s">
        <v>884</v>
      </c>
      <c r="G155" s="9" t="s">
        <v>3504</v>
      </c>
      <c r="H155" s="164">
        <v>6061644.1438708222</v>
      </c>
      <c r="I155" s="165">
        <v>26652489.470413871</v>
      </c>
      <c r="J155" s="165">
        <v>1734658.3090350663</v>
      </c>
      <c r="K155" s="165">
        <v>89320.889677790357</v>
      </c>
      <c r="L155" s="177">
        <f t="shared" si="24"/>
        <v>7796302.4529058887</v>
      </c>
      <c r="M155" s="166">
        <f t="shared" si="25"/>
        <v>26741810.36009166</v>
      </c>
      <c r="N155" s="189">
        <f>INDEX('CHIRP Payment Calc'!AM:AM,MATCH(F155,'CHIRP Payment Calc'!C:C,0))</f>
        <v>3.08</v>
      </c>
      <c r="O155" s="189">
        <f>INDEX('CHIRP Payment Calc'!AL:AL,MATCH(FeeCalc!F155,'CHIRP Payment Calc'!C:C,0))</f>
        <v>0.78</v>
      </c>
      <c r="P155" s="164">
        <f t="shared" si="22"/>
        <v>44871223.635821633</v>
      </c>
      <c r="Q155" s="165">
        <f t="shared" si="26"/>
        <v>2407301.1465544668</v>
      </c>
      <c r="R155" s="165">
        <f t="shared" si="27"/>
        <v>345473.48207085207</v>
      </c>
      <c r="S155" s="165">
        <f t="shared" si="28"/>
        <v>2752774.6286253189</v>
      </c>
      <c r="T155" s="165">
        <f t="shared" si="29"/>
        <v>19808874.23142932</v>
      </c>
      <c r="U155" s="165">
        <f t="shared" si="30"/>
        <v>5683774.0338595798</v>
      </c>
      <c r="V155" s="165">
        <f t="shared" si="31"/>
        <v>22057232.6651701</v>
      </c>
      <c r="W155" s="165">
        <f t="shared" si="32"/>
        <v>74117.333987953709</v>
      </c>
      <c r="X155" s="166">
        <f t="shared" si="23"/>
        <v>5757891.3678475339</v>
      </c>
    </row>
    <row r="156" spans="4:24">
      <c r="D156" s="9" t="s">
        <v>1530</v>
      </c>
      <c r="E156" s="9" t="s">
        <v>3069</v>
      </c>
      <c r="F156" s="4" t="s">
        <v>1269</v>
      </c>
      <c r="G156" s="9" t="s">
        <v>3415</v>
      </c>
      <c r="H156" s="164">
        <v>0</v>
      </c>
      <c r="I156" s="165">
        <v>41516.563742992228</v>
      </c>
      <c r="J156" s="165">
        <v>0</v>
      </c>
      <c r="K156" s="165">
        <v>0</v>
      </c>
      <c r="L156" s="177">
        <f t="shared" si="24"/>
        <v>0</v>
      </c>
      <c r="M156" s="166">
        <f t="shared" si="25"/>
        <v>41516.563742992228</v>
      </c>
      <c r="N156" s="189">
        <f>INDEX('CHIRP Payment Calc'!AM:AM,MATCH(F156,'CHIRP Payment Calc'!C:C,0))</f>
        <v>0</v>
      </c>
      <c r="O156" s="189">
        <f>INDEX('CHIRP Payment Calc'!AL:AL,MATCH(FeeCalc!F156,'CHIRP Payment Calc'!C:C,0))</f>
        <v>6.17</v>
      </c>
      <c r="P156" s="164">
        <f t="shared" si="22"/>
        <v>256157.19829426205</v>
      </c>
      <c r="Q156" s="165">
        <f t="shared" si="26"/>
        <v>15627.627482143307</v>
      </c>
      <c r="R156" s="165">
        <f t="shared" si="27"/>
        <v>0</v>
      </c>
      <c r="S156" s="165">
        <f t="shared" si="28"/>
        <v>15627.627482143307</v>
      </c>
      <c r="T156" s="165">
        <f t="shared" si="29"/>
        <v>0</v>
      </c>
      <c r="U156" s="165">
        <f t="shared" si="30"/>
        <v>0</v>
      </c>
      <c r="V156" s="165">
        <f t="shared" si="31"/>
        <v>271784.82577640534</v>
      </c>
      <c r="W156" s="165">
        <f t="shared" si="32"/>
        <v>0</v>
      </c>
      <c r="X156" s="166">
        <f t="shared" si="23"/>
        <v>0</v>
      </c>
    </row>
    <row r="157" spans="4:24">
      <c r="D157" s="9" t="s">
        <v>1530</v>
      </c>
      <c r="E157" s="9" t="s">
        <v>2768</v>
      </c>
      <c r="F157" s="4" t="s">
        <v>878</v>
      </c>
      <c r="G157" s="9" t="s">
        <v>3506</v>
      </c>
      <c r="H157" s="164">
        <v>1845776.30150156</v>
      </c>
      <c r="I157" s="165">
        <v>2149557.2314329166</v>
      </c>
      <c r="J157" s="165">
        <v>215131.5757572432</v>
      </c>
      <c r="K157" s="165">
        <v>419980.39089111151</v>
      </c>
      <c r="L157" s="177">
        <f t="shared" si="24"/>
        <v>2060907.8772588032</v>
      </c>
      <c r="M157" s="166">
        <f t="shared" si="25"/>
        <v>2569537.6223240281</v>
      </c>
      <c r="N157" s="189">
        <f>INDEX('CHIRP Payment Calc'!AM:AM,MATCH(F157,'CHIRP Payment Calc'!C:C,0))</f>
        <v>0.64999999999999991</v>
      </c>
      <c r="O157" s="189">
        <f>INDEX('CHIRP Payment Calc'!AL:AL,MATCH(FeeCalc!F157,'CHIRP Payment Calc'!C:C,0))</f>
        <v>0.32</v>
      </c>
      <c r="P157" s="164">
        <f t="shared" si="22"/>
        <v>2161842.159361911</v>
      </c>
      <c r="Q157" s="165">
        <f t="shared" si="26"/>
        <v>115159.40830449491</v>
      </c>
      <c r="R157" s="165">
        <f t="shared" si="27"/>
        <v>17503.994637916836</v>
      </c>
      <c r="S157" s="165">
        <f t="shared" si="28"/>
        <v>132663.40294241175</v>
      </c>
      <c r="T157" s="165">
        <f t="shared" si="29"/>
        <v>1272949.1734493515</v>
      </c>
      <c r="U157" s="165">
        <f t="shared" si="30"/>
        <v>148761.196002349</v>
      </c>
      <c r="V157" s="165">
        <f t="shared" si="31"/>
        <v>729823.14488969056</v>
      </c>
      <c r="W157" s="165">
        <f t="shared" si="32"/>
        <v>142972.0479629316</v>
      </c>
      <c r="X157" s="166">
        <f t="shared" si="23"/>
        <v>291733.24396528059</v>
      </c>
    </row>
    <row r="158" spans="4:24">
      <c r="D158" s="9" t="s">
        <v>1530</v>
      </c>
      <c r="E158" s="9" t="s">
        <v>2768</v>
      </c>
      <c r="F158" s="4" t="s">
        <v>1178</v>
      </c>
      <c r="G158" s="9" t="s">
        <v>3091</v>
      </c>
      <c r="H158" s="164">
        <v>388353.37319912639</v>
      </c>
      <c r="I158" s="165">
        <v>25114.41856379652</v>
      </c>
      <c r="J158" s="165">
        <v>35524.024539392631</v>
      </c>
      <c r="K158" s="165">
        <v>5897.9915666540792</v>
      </c>
      <c r="L158" s="177">
        <f t="shared" si="24"/>
        <v>423877.39773851901</v>
      </c>
      <c r="M158" s="166">
        <f t="shared" si="25"/>
        <v>31012.4101304506</v>
      </c>
      <c r="N158" s="189">
        <f>INDEX('CHIRP Payment Calc'!AM:AM,MATCH(F158,'CHIRP Payment Calc'!C:C,0))</f>
        <v>0.45999999999999996</v>
      </c>
      <c r="O158" s="189">
        <f>INDEX('CHIRP Payment Calc'!AL:AL,MATCH(FeeCalc!F158,'CHIRP Payment Calc'!C:C,0))</f>
        <v>0.32</v>
      </c>
      <c r="P158" s="164">
        <f t="shared" si="22"/>
        <v>204907.57420146291</v>
      </c>
      <c r="Q158" s="165">
        <f t="shared" si="26"/>
        <v>11388.914612934481</v>
      </c>
      <c r="R158" s="165">
        <f t="shared" si="27"/>
        <v>1163.515441879782</v>
      </c>
      <c r="S158" s="165">
        <f t="shared" si="28"/>
        <v>12552.430054814264</v>
      </c>
      <c r="T158" s="165">
        <f t="shared" si="29"/>
        <v>189541.16888233222</v>
      </c>
      <c r="U158" s="165">
        <f t="shared" si="30"/>
        <v>17384.097115021927</v>
      </c>
      <c r="V158" s="165">
        <f t="shared" si="31"/>
        <v>8526.9113426152635</v>
      </c>
      <c r="W158" s="165">
        <f t="shared" si="32"/>
        <v>2007.8269163077719</v>
      </c>
      <c r="X158" s="166">
        <f t="shared" si="23"/>
        <v>19391.924031329698</v>
      </c>
    </row>
    <row r="159" spans="4:24">
      <c r="D159" s="9" t="s">
        <v>1530</v>
      </c>
      <c r="E159" s="9" t="s">
        <v>2768</v>
      </c>
      <c r="F159" s="4" t="s">
        <v>872</v>
      </c>
      <c r="G159" s="9" t="s">
        <v>3505</v>
      </c>
      <c r="H159" s="164">
        <v>944207.71925366507</v>
      </c>
      <c r="I159" s="165">
        <v>1416820.9011451215</v>
      </c>
      <c r="J159" s="165">
        <v>85660.554172953998</v>
      </c>
      <c r="K159" s="165">
        <v>93738.135561448857</v>
      </c>
      <c r="L159" s="177">
        <f t="shared" si="24"/>
        <v>1029868.2734266191</v>
      </c>
      <c r="M159" s="166">
        <f t="shared" si="25"/>
        <v>1510559.0367065703</v>
      </c>
      <c r="N159" s="189">
        <f>INDEX('CHIRP Payment Calc'!AM:AM,MATCH(F159,'CHIRP Payment Calc'!C:C,0))</f>
        <v>0.36</v>
      </c>
      <c r="O159" s="189">
        <f>INDEX('CHIRP Payment Calc'!AL:AL,MATCH(FeeCalc!F159,'CHIRP Payment Calc'!C:C,0))</f>
        <v>0.32</v>
      </c>
      <c r="P159" s="164">
        <f t="shared" si="22"/>
        <v>854131.47017968539</v>
      </c>
      <c r="Q159" s="165">
        <f t="shared" si="26"/>
        <v>48397.45821710462</v>
      </c>
      <c r="R159" s="165">
        <f t="shared" si="27"/>
        <v>3883.0214605485371</v>
      </c>
      <c r="S159" s="165">
        <f t="shared" si="28"/>
        <v>52280.479677653158</v>
      </c>
      <c r="T159" s="165">
        <f t="shared" si="29"/>
        <v>360652.28533826995</v>
      </c>
      <c r="U159" s="165">
        <f t="shared" si="30"/>
        <v>32806.169683258981</v>
      </c>
      <c r="V159" s="165">
        <f t="shared" si="31"/>
        <v>481042.64017659298</v>
      </c>
      <c r="W159" s="165">
        <f t="shared" si="32"/>
        <v>31910.854659216631</v>
      </c>
      <c r="X159" s="166">
        <f t="shared" si="23"/>
        <v>64717.024342475612</v>
      </c>
    </row>
    <row r="160" spans="4:24">
      <c r="D160" s="9" t="s">
        <v>1530</v>
      </c>
      <c r="E160" s="9" t="s">
        <v>2768</v>
      </c>
      <c r="F160" s="4" t="s">
        <v>1076</v>
      </c>
      <c r="G160" s="9" t="s">
        <v>3122</v>
      </c>
      <c r="H160" s="164">
        <v>449769.74560125847</v>
      </c>
      <c r="I160" s="165">
        <v>22866.421691605472</v>
      </c>
      <c r="J160" s="165">
        <v>64049.916603213838</v>
      </c>
      <c r="K160" s="165">
        <v>2195.3070101055418</v>
      </c>
      <c r="L160" s="177">
        <f t="shared" si="24"/>
        <v>513819.66220447229</v>
      </c>
      <c r="M160" s="166">
        <f t="shared" si="25"/>
        <v>25061.728701711014</v>
      </c>
      <c r="N160" s="189">
        <f>INDEX('CHIRP Payment Calc'!AM:AM,MATCH(F160,'CHIRP Payment Calc'!C:C,0))</f>
        <v>0.36</v>
      </c>
      <c r="O160" s="189">
        <f>INDEX('CHIRP Payment Calc'!AL:AL,MATCH(FeeCalc!F160,'CHIRP Payment Calc'!C:C,0))</f>
        <v>0.32</v>
      </c>
      <c r="P160" s="164">
        <f t="shared" si="22"/>
        <v>192994.83157815755</v>
      </c>
      <c r="Q160" s="165">
        <f t="shared" si="26"/>
        <v>10324.642857370389</v>
      </c>
      <c r="R160" s="165">
        <f t="shared" si="27"/>
        <v>1516.6256310887718</v>
      </c>
      <c r="S160" s="165">
        <f t="shared" si="28"/>
        <v>11841.26848845916</v>
      </c>
      <c r="T160" s="165">
        <f t="shared" si="29"/>
        <v>171795.3404949104</v>
      </c>
      <c r="U160" s="165">
        <f t="shared" si="30"/>
        <v>24529.755294847851</v>
      </c>
      <c r="V160" s="165">
        <f t="shared" si="31"/>
        <v>7763.6657202267916</v>
      </c>
      <c r="W160" s="165">
        <f t="shared" si="32"/>
        <v>747.3385566316739</v>
      </c>
      <c r="X160" s="166">
        <f t="shared" si="23"/>
        <v>25277.093851479527</v>
      </c>
    </row>
    <row r="161" spans="4:24">
      <c r="D161" s="9" t="s">
        <v>1530</v>
      </c>
      <c r="E161" s="9" t="s">
        <v>2768</v>
      </c>
      <c r="F161" s="4" t="s">
        <v>684</v>
      </c>
      <c r="G161" s="9" t="s">
        <v>3355</v>
      </c>
      <c r="H161" s="164">
        <v>1628819.0617916882</v>
      </c>
      <c r="I161" s="165">
        <v>622362.52317857638</v>
      </c>
      <c r="J161" s="165">
        <v>112554.97294605114</v>
      </c>
      <c r="K161" s="165">
        <v>18671.461815448321</v>
      </c>
      <c r="L161" s="177">
        <f t="shared" si="24"/>
        <v>1741374.0347377392</v>
      </c>
      <c r="M161" s="166">
        <f t="shared" si="25"/>
        <v>641033.98499402474</v>
      </c>
      <c r="N161" s="189">
        <f>INDEX('CHIRP Payment Calc'!AM:AM,MATCH(F161,'CHIRP Payment Calc'!C:C,0))</f>
        <v>0.36</v>
      </c>
      <c r="O161" s="189">
        <f>INDEX('CHIRP Payment Calc'!AL:AL,MATCH(FeeCalc!F161,'CHIRP Payment Calc'!C:C,0))</f>
        <v>0.32</v>
      </c>
      <c r="P161" s="164">
        <f t="shared" si="22"/>
        <v>832025.52770367404</v>
      </c>
      <c r="Q161" s="165">
        <f t="shared" si="26"/>
        <v>47923.633958168444</v>
      </c>
      <c r="R161" s="165">
        <f t="shared" si="27"/>
        <v>2967.7441303099072</v>
      </c>
      <c r="S161" s="165">
        <f t="shared" si="28"/>
        <v>50891.378088478348</v>
      </c>
      <c r="T161" s="165">
        <f t="shared" si="29"/>
        <v>622148.39495491539</v>
      </c>
      <c r="U161" s="165">
        <f t="shared" si="30"/>
        <v>43106.159851679164</v>
      </c>
      <c r="V161" s="165">
        <f t="shared" si="31"/>
        <v>211306.10866540525</v>
      </c>
      <c r="W161" s="165">
        <f t="shared" si="32"/>
        <v>6356.2423201526199</v>
      </c>
      <c r="X161" s="166">
        <f t="shared" si="23"/>
        <v>49462.402171831782</v>
      </c>
    </row>
    <row r="162" spans="4:24">
      <c r="D162" s="9" t="s">
        <v>1530</v>
      </c>
      <c r="E162" s="9" t="s">
        <v>2768</v>
      </c>
      <c r="F162" s="4" t="s">
        <v>787</v>
      </c>
      <c r="G162" s="9" t="s">
        <v>3582</v>
      </c>
      <c r="H162" s="164">
        <v>491509.24003344856</v>
      </c>
      <c r="I162" s="165">
        <v>74503.062697864778</v>
      </c>
      <c r="J162" s="165">
        <v>29457.376054874043</v>
      </c>
      <c r="K162" s="165">
        <v>8838.8165057035094</v>
      </c>
      <c r="L162" s="177">
        <f t="shared" si="24"/>
        <v>520966.6160883226</v>
      </c>
      <c r="M162" s="166">
        <f t="shared" si="25"/>
        <v>83341.879203568285</v>
      </c>
      <c r="N162" s="189">
        <f>INDEX('CHIRP Payment Calc'!AM:AM,MATCH(F162,'CHIRP Payment Calc'!C:C,0))</f>
        <v>0.48</v>
      </c>
      <c r="O162" s="189">
        <f>INDEX('CHIRP Payment Calc'!AL:AL,MATCH(FeeCalc!F162,'CHIRP Payment Calc'!C:C,0))</f>
        <v>0.32</v>
      </c>
      <c r="P162" s="164">
        <f t="shared" si="22"/>
        <v>276733.3770675367</v>
      </c>
      <c r="Q162" s="165">
        <f t="shared" si="26"/>
        <v>15847.75743083702</v>
      </c>
      <c r="R162" s="165">
        <f t="shared" si="27"/>
        <v>1083.0613907339148</v>
      </c>
      <c r="S162" s="165">
        <f t="shared" si="28"/>
        <v>16930.818821570934</v>
      </c>
      <c r="T162" s="165">
        <f t="shared" si="29"/>
        <v>250317.70314700826</v>
      </c>
      <c r="U162" s="165">
        <f t="shared" si="30"/>
        <v>15042.064368446319</v>
      </c>
      <c r="V162" s="165">
        <f t="shared" si="31"/>
        <v>25295.469563200772</v>
      </c>
      <c r="W162" s="165">
        <f t="shared" si="32"/>
        <v>3008.9588104522591</v>
      </c>
      <c r="X162" s="166">
        <f t="shared" si="23"/>
        <v>18051.023178898577</v>
      </c>
    </row>
    <row r="163" spans="4:24">
      <c r="D163" s="9" t="s">
        <v>1530</v>
      </c>
      <c r="E163" s="9" t="s">
        <v>2768</v>
      </c>
      <c r="F163" s="4" t="s">
        <v>1087</v>
      </c>
      <c r="G163" s="9" t="s">
        <v>3528</v>
      </c>
      <c r="H163" s="164">
        <v>446291.56609545631</v>
      </c>
      <c r="I163" s="165">
        <v>214194.88673273445</v>
      </c>
      <c r="J163" s="165">
        <v>54028.193881253079</v>
      </c>
      <c r="K163" s="165">
        <v>39719.289279544231</v>
      </c>
      <c r="L163" s="177">
        <f t="shared" si="24"/>
        <v>500319.75997670938</v>
      </c>
      <c r="M163" s="166">
        <f t="shared" si="25"/>
        <v>253914.17601227868</v>
      </c>
      <c r="N163" s="189">
        <f>INDEX('CHIRP Payment Calc'!AM:AM,MATCH(F163,'CHIRP Payment Calc'!C:C,0))</f>
        <v>0.36</v>
      </c>
      <c r="O163" s="189">
        <f>INDEX('CHIRP Payment Calc'!AL:AL,MATCH(FeeCalc!F163,'CHIRP Payment Calc'!C:C,0))</f>
        <v>0.32</v>
      </c>
      <c r="P163" s="164">
        <f t="shared" si="22"/>
        <v>261367.64991554455</v>
      </c>
      <c r="Q163" s="165">
        <f t="shared" si="26"/>
        <v>13983.47091146765</v>
      </c>
      <c r="R163" s="165">
        <f t="shared" si="27"/>
        <v>2052.7865340450171</v>
      </c>
      <c r="S163" s="165">
        <f t="shared" si="28"/>
        <v>16036.257445512667</v>
      </c>
      <c r="T163" s="165">
        <f t="shared" si="29"/>
        <v>170466.80508685863</v>
      </c>
      <c r="U163" s="165">
        <f t="shared" si="30"/>
        <v>20691.648720479905</v>
      </c>
      <c r="V163" s="165">
        <f t="shared" si="31"/>
        <v>72723.993373448306</v>
      </c>
      <c r="W163" s="165">
        <f t="shared" si="32"/>
        <v>13521.460180270378</v>
      </c>
      <c r="X163" s="166">
        <f t="shared" si="23"/>
        <v>34213.108900750281</v>
      </c>
    </row>
    <row r="164" spans="4:24">
      <c r="D164" s="9" t="s">
        <v>1530</v>
      </c>
      <c r="E164" s="9" t="s">
        <v>2768</v>
      </c>
      <c r="F164" s="4" t="s">
        <v>814</v>
      </c>
      <c r="G164" s="9" t="s">
        <v>2867</v>
      </c>
      <c r="H164" s="164">
        <v>234474.79491854046</v>
      </c>
      <c r="I164" s="165">
        <v>2176.3420333214431</v>
      </c>
      <c r="J164" s="165">
        <v>87127.377606563066</v>
      </c>
      <c r="K164" s="165">
        <v>6201.2710307012276</v>
      </c>
      <c r="L164" s="177">
        <f t="shared" si="24"/>
        <v>321602.17252510355</v>
      </c>
      <c r="M164" s="166">
        <f t="shared" si="25"/>
        <v>8377.6130640226711</v>
      </c>
      <c r="N164" s="189">
        <f>INDEX('CHIRP Payment Calc'!AM:AM,MATCH(F164,'CHIRP Payment Calc'!C:C,0))</f>
        <v>0.36</v>
      </c>
      <c r="O164" s="189">
        <f>INDEX('CHIRP Payment Calc'!AL:AL,MATCH(FeeCalc!F164,'CHIRP Payment Calc'!C:C,0))</f>
        <v>0.32</v>
      </c>
      <c r="P164" s="164">
        <f t="shared" si="22"/>
        <v>118457.61828952453</v>
      </c>
      <c r="Q164" s="165">
        <f t="shared" si="26"/>
        <v>5192.2259397632924</v>
      </c>
      <c r="R164" s="165">
        <f t="shared" si="27"/>
        <v>2128.7401703098149</v>
      </c>
      <c r="S164" s="165">
        <f t="shared" si="28"/>
        <v>7320.9661100731073</v>
      </c>
      <c r="T164" s="165">
        <f t="shared" si="29"/>
        <v>89560.66437206851</v>
      </c>
      <c r="U164" s="165">
        <f t="shared" si="30"/>
        <v>33367.931849322027</v>
      </c>
      <c r="V164" s="165">
        <f t="shared" si="31"/>
        <v>738.91718903221408</v>
      </c>
      <c r="W164" s="165">
        <f t="shared" si="32"/>
        <v>2111.0709891748861</v>
      </c>
      <c r="X164" s="166">
        <f t="shared" si="23"/>
        <v>35479.002838496912</v>
      </c>
    </row>
    <row r="165" spans="4:24">
      <c r="D165" s="9" t="s">
        <v>1530</v>
      </c>
      <c r="E165" s="9" t="s">
        <v>2768</v>
      </c>
      <c r="F165" s="4" t="s">
        <v>723</v>
      </c>
      <c r="G165" s="9" t="s">
        <v>3438</v>
      </c>
      <c r="H165" s="164">
        <v>1935575.4850092949</v>
      </c>
      <c r="I165" s="165">
        <v>1701074.651641096</v>
      </c>
      <c r="J165" s="165">
        <v>215791.70222075304</v>
      </c>
      <c r="K165" s="165">
        <v>227229.58662959631</v>
      </c>
      <c r="L165" s="177">
        <f t="shared" si="24"/>
        <v>2151367.1872300478</v>
      </c>
      <c r="M165" s="166">
        <f t="shared" si="25"/>
        <v>1928304.2382706923</v>
      </c>
      <c r="N165" s="189">
        <f>INDEX('CHIRP Payment Calc'!AM:AM,MATCH(F165,'CHIRP Payment Calc'!C:C,0))</f>
        <v>0.36</v>
      </c>
      <c r="O165" s="189">
        <f>INDEX('CHIRP Payment Calc'!AL:AL,MATCH(FeeCalc!F165,'CHIRP Payment Calc'!C:C,0))</f>
        <v>0.32</v>
      </c>
      <c r="P165" s="164">
        <f t="shared" si="22"/>
        <v>1391549.5436494388</v>
      </c>
      <c r="Q165" s="165">
        <f t="shared" si="26"/>
        <v>75720.091384497151</v>
      </c>
      <c r="R165" s="165">
        <f t="shared" si="27"/>
        <v>9599.9030119750187</v>
      </c>
      <c r="S165" s="165">
        <f t="shared" si="28"/>
        <v>85319.994396472175</v>
      </c>
      <c r="T165" s="165">
        <f t="shared" si="29"/>
        <v>739317.95713882882</v>
      </c>
      <c r="U165" s="165">
        <f t="shared" si="30"/>
        <v>82643.630637735216</v>
      </c>
      <c r="V165" s="165">
        <f t="shared" si="31"/>
        <v>577553.19737416517</v>
      </c>
      <c r="W165" s="165">
        <f t="shared" si="32"/>
        <v>77354.752895181737</v>
      </c>
      <c r="X165" s="166">
        <f t="shared" si="23"/>
        <v>159998.38353291695</v>
      </c>
    </row>
    <row r="166" spans="4:24">
      <c r="D166" s="9" t="s">
        <v>1530</v>
      </c>
      <c r="E166" s="9" t="s">
        <v>2718</v>
      </c>
      <c r="F166" s="4" t="s">
        <v>47</v>
      </c>
      <c r="G166" s="9" t="s">
        <v>3508</v>
      </c>
      <c r="H166" s="164">
        <v>2801959.5408118828</v>
      </c>
      <c r="I166" s="165">
        <v>3252544.3324129232</v>
      </c>
      <c r="J166" s="165">
        <v>1660973.2277486175</v>
      </c>
      <c r="K166" s="165">
        <v>1938831.4045609389</v>
      </c>
      <c r="L166" s="177">
        <f t="shared" si="24"/>
        <v>4462932.7685605008</v>
      </c>
      <c r="M166" s="166">
        <f t="shared" si="25"/>
        <v>5191375.7369738622</v>
      </c>
      <c r="N166" s="189">
        <f>INDEX('CHIRP Payment Calc'!AM:AM,MATCH(F166,'CHIRP Payment Calc'!C:C,0))</f>
        <v>2.4</v>
      </c>
      <c r="O166" s="189">
        <f>INDEX('CHIRP Payment Calc'!AL:AL,MATCH(FeeCalc!F166,'CHIRP Payment Calc'!C:C,0))</f>
        <v>0.56999999999999995</v>
      </c>
      <c r="P166" s="164">
        <f t="shared" si="22"/>
        <v>13670122.814620303</v>
      </c>
      <c r="Q166" s="165">
        <f t="shared" si="26"/>
        <v>523366.10835742531</v>
      </c>
      <c r="R166" s="165">
        <f t="shared" si="27"/>
        <v>324987.42428913305</v>
      </c>
      <c r="S166" s="165">
        <f t="shared" si="28"/>
        <v>848353.53264655836</v>
      </c>
      <c r="T166" s="165">
        <f t="shared" si="29"/>
        <v>7134963.2869480299</v>
      </c>
      <c r="U166" s="165">
        <f t="shared" si="30"/>
        <v>4240782.7091454063</v>
      </c>
      <c r="V166" s="165">
        <f t="shared" si="31"/>
        <v>1967055.9888332796</v>
      </c>
      <c r="W166" s="165">
        <f t="shared" si="32"/>
        <v>1175674.3623401439</v>
      </c>
      <c r="X166" s="166">
        <f t="shared" si="23"/>
        <v>5416457.0714855501</v>
      </c>
    </row>
    <row r="167" spans="4:24">
      <c r="D167" s="9" t="s">
        <v>1530</v>
      </c>
      <c r="E167" s="9" t="s">
        <v>2718</v>
      </c>
      <c r="F167" s="4" t="s">
        <v>1808</v>
      </c>
      <c r="G167" s="9" t="s">
        <v>3458</v>
      </c>
      <c r="H167" s="164">
        <v>11229974.309391815</v>
      </c>
      <c r="I167" s="165">
        <v>12723131.14699005</v>
      </c>
      <c r="J167" s="165">
        <v>1173479.9218921654</v>
      </c>
      <c r="K167" s="165">
        <v>3614779.1797115766</v>
      </c>
      <c r="L167" s="177">
        <f t="shared" si="24"/>
        <v>12403454.231283981</v>
      </c>
      <c r="M167" s="166">
        <f t="shared" si="25"/>
        <v>16337910.326701626</v>
      </c>
      <c r="N167" s="189">
        <f>INDEX('CHIRP Payment Calc'!AM:AM,MATCH(F167,'CHIRP Payment Calc'!C:C,0))</f>
        <v>0.96</v>
      </c>
      <c r="O167" s="189">
        <f>INDEX('CHIRP Payment Calc'!AL:AL,MATCH(FeeCalc!F167,'CHIRP Payment Calc'!C:C,0))</f>
        <v>0.21</v>
      </c>
      <c r="P167" s="164">
        <f t="shared" si="22"/>
        <v>15338277.230639962</v>
      </c>
      <c r="Q167" s="165">
        <f t="shared" si="26"/>
        <v>820717.65567992895</v>
      </c>
      <c r="R167" s="165">
        <f t="shared" si="27"/>
        <v>120360.27783548363</v>
      </c>
      <c r="S167" s="165">
        <f t="shared" si="28"/>
        <v>941077.93351541262</v>
      </c>
      <c r="T167" s="165">
        <f t="shared" si="29"/>
        <v>11438488.421237286</v>
      </c>
      <c r="U167" s="165">
        <f t="shared" si="30"/>
        <v>1198447.5798047648</v>
      </c>
      <c r="V167" s="165">
        <f t="shared" si="31"/>
        <v>2834862.1123266951</v>
      </c>
      <c r="W167" s="165">
        <f t="shared" si="32"/>
        <v>807557.05078662885</v>
      </c>
      <c r="X167" s="166">
        <f t="shared" si="23"/>
        <v>2006004.6305913937</v>
      </c>
    </row>
    <row r="168" spans="4:24">
      <c r="D168" s="9" t="s">
        <v>1530</v>
      </c>
      <c r="E168" s="9" t="s">
        <v>2718</v>
      </c>
      <c r="F168" s="4" t="s">
        <v>1153</v>
      </c>
      <c r="G168" s="9" t="s">
        <v>2971</v>
      </c>
      <c r="H168" s="164">
        <v>6672592.5273254234</v>
      </c>
      <c r="I168" s="165">
        <v>15909996.83213052</v>
      </c>
      <c r="J168" s="165">
        <v>3415438.0231964542</v>
      </c>
      <c r="K168" s="165">
        <v>6064982.3018997218</v>
      </c>
      <c r="L168" s="177">
        <f t="shared" si="24"/>
        <v>10088030.550521877</v>
      </c>
      <c r="M168" s="166">
        <f t="shared" si="25"/>
        <v>21974979.134030242</v>
      </c>
      <c r="N168" s="189">
        <f>INDEX('CHIRP Payment Calc'!AM:AM,MATCH(F168,'CHIRP Payment Calc'!C:C,0))</f>
        <v>2.0700000000000003</v>
      </c>
      <c r="O168" s="189">
        <f>INDEX('CHIRP Payment Calc'!AL:AL,MATCH(FeeCalc!F168,'CHIRP Payment Calc'!C:C,0))</f>
        <v>0</v>
      </c>
      <c r="P168" s="164">
        <f t="shared" si="22"/>
        <v>20882223.239580289</v>
      </c>
      <c r="Q168" s="165">
        <f t="shared" si="26"/>
        <v>842658.17036064574</v>
      </c>
      <c r="R168" s="165">
        <f t="shared" si="27"/>
        <v>451273.83242659544</v>
      </c>
      <c r="S168" s="165">
        <f t="shared" si="28"/>
        <v>1293932.0027872412</v>
      </c>
      <c r="T168" s="165">
        <f t="shared" si="29"/>
        <v>14654924.701924274</v>
      </c>
      <c r="U168" s="165">
        <f t="shared" si="30"/>
        <v>7521230.5404432565</v>
      </c>
      <c r="V168" s="165">
        <f t="shared" si="31"/>
        <v>0</v>
      </c>
      <c r="W168" s="165">
        <f t="shared" si="32"/>
        <v>0</v>
      </c>
      <c r="X168" s="166">
        <f t="shared" si="23"/>
        <v>7521230.5404432565</v>
      </c>
    </row>
    <row r="169" spans="4:24">
      <c r="D169" s="9" t="s">
        <v>1530</v>
      </c>
      <c r="E169" s="9" t="s">
        <v>2718</v>
      </c>
      <c r="F169" s="4" t="s">
        <v>318</v>
      </c>
      <c r="G169" s="9" t="s">
        <v>3510</v>
      </c>
      <c r="H169" s="164">
        <v>292712.82400019281</v>
      </c>
      <c r="I169" s="165">
        <v>41124.764157700265</v>
      </c>
      <c r="J169" s="165">
        <v>17790.907191105216</v>
      </c>
      <c r="K169" s="165">
        <v>19841.132490160751</v>
      </c>
      <c r="L169" s="177">
        <f t="shared" si="24"/>
        <v>310503.73119129799</v>
      </c>
      <c r="M169" s="166">
        <f t="shared" si="25"/>
        <v>60965.896647861016</v>
      </c>
      <c r="N169" s="189">
        <f>INDEX('CHIRP Payment Calc'!AM:AM,MATCH(F169,'CHIRP Payment Calc'!C:C,0))</f>
        <v>2.58</v>
      </c>
      <c r="O169" s="189">
        <f>INDEX('CHIRP Payment Calc'!AL:AL,MATCH(FeeCalc!F169,'CHIRP Payment Calc'!C:C,0))</f>
        <v>0.11</v>
      </c>
      <c r="P169" s="164">
        <f t="shared" si="22"/>
        <v>807805.87510481349</v>
      </c>
      <c r="Q169" s="165">
        <f t="shared" si="26"/>
        <v>46349.13694825046</v>
      </c>
      <c r="R169" s="165">
        <f t="shared" si="27"/>
        <v>3069.1318166150522</v>
      </c>
      <c r="S169" s="165">
        <f t="shared" si="28"/>
        <v>49418.268764865512</v>
      </c>
      <c r="T169" s="165">
        <f t="shared" si="29"/>
        <v>801272.23970344558</v>
      </c>
      <c r="U169" s="165">
        <f t="shared" si="30"/>
        <v>48830.362290480276</v>
      </c>
      <c r="V169" s="165">
        <f t="shared" si="31"/>
        <v>4799.7072226493683</v>
      </c>
      <c r="W169" s="165">
        <f t="shared" si="32"/>
        <v>2321.8346531039178</v>
      </c>
      <c r="X169" s="166">
        <f t="shared" si="23"/>
        <v>51152.196943584197</v>
      </c>
    </row>
    <row r="170" spans="4:24">
      <c r="D170" s="9" t="s">
        <v>1530</v>
      </c>
      <c r="E170" s="9" t="s">
        <v>2718</v>
      </c>
      <c r="F170" s="4" t="s">
        <v>238</v>
      </c>
      <c r="G170" s="9" t="s">
        <v>2164</v>
      </c>
      <c r="H170" s="164">
        <v>85041.031904611838</v>
      </c>
      <c r="I170" s="165">
        <v>9688.7971631988476</v>
      </c>
      <c r="J170" s="165">
        <v>67798.408433262346</v>
      </c>
      <c r="K170" s="165">
        <v>121305.19046554981</v>
      </c>
      <c r="L170" s="177">
        <f t="shared" si="24"/>
        <v>152839.44033787417</v>
      </c>
      <c r="M170" s="166">
        <f t="shared" si="25"/>
        <v>130993.98762874865</v>
      </c>
      <c r="N170" s="189">
        <f>INDEX('CHIRP Payment Calc'!AM:AM,MATCH(F170,'CHIRP Payment Calc'!C:C,0))</f>
        <v>2.67</v>
      </c>
      <c r="O170" s="189">
        <f>INDEX('CHIRP Payment Calc'!AL:AL,MATCH(FeeCalc!F170,'CHIRP Payment Calc'!C:C,0))</f>
        <v>0.22</v>
      </c>
      <c r="P170" s="164">
        <f t="shared" si="22"/>
        <v>436899.98298044875</v>
      </c>
      <c r="Q170" s="165">
        <f t="shared" si="26"/>
        <v>13982.480326015911</v>
      </c>
      <c r="R170" s="165">
        <f t="shared" si="27"/>
        <v>13258.014409738176</v>
      </c>
      <c r="S170" s="165">
        <f t="shared" si="28"/>
        <v>27240.494735754088</v>
      </c>
      <c r="T170" s="165">
        <f t="shared" si="29"/>
        <v>240911.99489157941</v>
      </c>
      <c r="U170" s="165">
        <f t="shared" si="30"/>
        <v>192576.33033703241</v>
      </c>
      <c r="V170" s="165">
        <f t="shared" si="31"/>
        <v>2261.5759956538423</v>
      </c>
      <c r="W170" s="165">
        <f t="shared" si="32"/>
        <v>28390.57649193719</v>
      </c>
      <c r="X170" s="166">
        <f t="shared" si="23"/>
        <v>220966.9068289696</v>
      </c>
    </row>
    <row r="171" spans="4:24">
      <c r="D171" s="9" t="s">
        <v>1530</v>
      </c>
      <c r="E171" s="9" t="s">
        <v>2718</v>
      </c>
      <c r="F171" s="4" t="s">
        <v>672</v>
      </c>
      <c r="G171" s="9" t="s">
        <v>2998</v>
      </c>
      <c r="H171" s="164">
        <v>1668182.5934207384</v>
      </c>
      <c r="I171" s="165">
        <v>978065.39817035268</v>
      </c>
      <c r="J171" s="165">
        <v>669781.50787580898</v>
      </c>
      <c r="K171" s="165">
        <v>3548363.4458897421</v>
      </c>
      <c r="L171" s="177">
        <f t="shared" si="24"/>
        <v>2337964.1012965473</v>
      </c>
      <c r="M171" s="166">
        <f t="shared" si="25"/>
        <v>4526428.844060095</v>
      </c>
      <c r="N171" s="189">
        <f>INDEX('CHIRP Payment Calc'!AM:AM,MATCH(F171,'CHIRP Payment Calc'!C:C,0))</f>
        <v>2.76</v>
      </c>
      <c r="O171" s="189">
        <f>INDEX('CHIRP Payment Calc'!AL:AL,MATCH(FeeCalc!F171,'CHIRP Payment Calc'!C:C,0))</f>
        <v>0.57999999999999996</v>
      </c>
      <c r="P171" s="164">
        <f t="shared" si="22"/>
        <v>9078109.6491333246</v>
      </c>
      <c r="Q171" s="165">
        <f t="shared" si="26"/>
        <v>315500.32743220415</v>
      </c>
      <c r="R171" s="165">
        <f t="shared" si="27"/>
        <v>249360.49534169899</v>
      </c>
      <c r="S171" s="165">
        <f t="shared" si="28"/>
        <v>564860.82277390314</v>
      </c>
      <c r="T171" s="165">
        <f t="shared" si="29"/>
        <v>4885075.8173381826</v>
      </c>
      <c r="U171" s="165">
        <f t="shared" si="30"/>
        <v>1966592.512486418</v>
      </c>
      <c r="V171" s="165">
        <f t="shared" si="31"/>
        <v>601886.39887406316</v>
      </c>
      <c r="W171" s="165">
        <f t="shared" si="32"/>
        <v>2189415.7432085644</v>
      </c>
      <c r="X171" s="166">
        <f t="shared" si="23"/>
        <v>4156008.2556949826</v>
      </c>
    </row>
    <row r="172" spans="4:24">
      <c r="D172" s="9" t="s">
        <v>1489</v>
      </c>
      <c r="E172" s="9" t="s">
        <v>3069</v>
      </c>
      <c r="F172" s="4" t="s">
        <v>3393</v>
      </c>
      <c r="G172" s="9" t="s">
        <v>3538</v>
      </c>
      <c r="H172" s="164">
        <v>0</v>
      </c>
      <c r="I172" s="165">
        <v>795758.94651112461</v>
      </c>
      <c r="J172" s="165">
        <v>0</v>
      </c>
      <c r="K172" s="165">
        <v>0</v>
      </c>
      <c r="L172" s="177">
        <f t="shared" si="24"/>
        <v>0</v>
      </c>
      <c r="M172" s="166">
        <f t="shared" si="25"/>
        <v>795758.94651112461</v>
      </c>
      <c r="N172" s="189">
        <f>INDEX('CHIRP Payment Calc'!AM:AM,MATCH(F172,'CHIRP Payment Calc'!C:C,0))</f>
        <v>0</v>
      </c>
      <c r="O172" s="189">
        <f>INDEX('CHIRP Payment Calc'!AL:AL,MATCH(FeeCalc!F172,'CHIRP Payment Calc'!C:C,0))</f>
        <v>0.42</v>
      </c>
      <c r="P172" s="164">
        <f t="shared" si="22"/>
        <v>334218.75753467233</v>
      </c>
      <c r="Q172" s="165">
        <f t="shared" si="26"/>
        <v>20390.00377532484</v>
      </c>
      <c r="R172" s="165">
        <f t="shared" si="27"/>
        <v>0</v>
      </c>
      <c r="S172" s="165">
        <f t="shared" si="28"/>
        <v>20390.00377532484</v>
      </c>
      <c r="T172" s="165">
        <f t="shared" si="29"/>
        <v>0</v>
      </c>
      <c r="U172" s="165">
        <f t="shared" si="30"/>
        <v>0</v>
      </c>
      <c r="V172" s="165">
        <f t="shared" si="31"/>
        <v>354608.76130999718</v>
      </c>
      <c r="W172" s="165">
        <f t="shared" si="32"/>
        <v>0</v>
      </c>
      <c r="X172" s="166">
        <f t="shared" si="23"/>
        <v>0</v>
      </c>
    </row>
    <row r="173" spans="4:24">
      <c r="D173" s="9" t="s">
        <v>1489</v>
      </c>
      <c r="E173" s="9" t="s">
        <v>3069</v>
      </c>
      <c r="F173" s="4" t="s">
        <v>1260</v>
      </c>
      <c r="G173" s="9" t="s">
        <v>3095</v>
      </c>
      <c r="H173" s="164">
        <v>0</v>
      </c>
      <c r="I173" s="165">
        <v>1571711.0949308933</v>
      </c>
      <c r="J173" s="165">
        <v>0</v>
      </c>
      <c r="K173" s="165">
        <v>0</v>
      </c>
      <c r="L173" s="177">
        <f t="shared" si="24"/>
        <v>0</v>
      </c>
      <c r="M173" s="166">
        <f t="shared" si="25"/>
        <v>1571711.0949308933</v>
      </c>
      <c r="N173" s="189">
        <f>INDEX('CHIRP Payment Calc'!AM:AM,MATCH(F173,'CHIRP Payment Calc'!C:C,0))</f>
        <v>0</v>
      </c>
      <c r="O173" s="189">
        <f>INDEX('CHIRP Payment Calc'!AL:AL,MATCH(FeeCalc!F173,'CHIRP Payment Calc'!C:C,0))</f>
        <v>0.42</v>
      </c>
      <c r="P173" s="164">
        <f t="shared" si="22"/>
        <v>660118.65987097519</v>
      </c>
      <c r="Q173" s="165">
        <f t="shared" si="26"/>
        <v>40272.49118576241</v>
      </c>
      <c r="R173" s="165">
        <f t="shared" si="27"/>
        <v>0</v>
      </c>
      <c r="S173" s="165">
        <f t="shared" si="28"/>
        <v>40272.49118576241</v>
      </c>
      <c r="T173" s="165">
        <f t="shared" si="29"/>
        <v>0</v>
      </c>
      <c r="U173" s="165">
        <f t="shared" si="30"/>
        <v>0</v>
      </c>
      <c r="V173" s="165">
        <f t="shared" si="31"/>
        <v>700391.15105673752</v>
      </c>
      <c r="W173" s="165">
        <f t="shared" si="32"/>
        <v>0</v>
      </c>
      <c r="X173" s="166">
        <f t="shared" si="23"/>
        <v>0</v>
      </c>
    </row>
    <row r="174" spans="4:24">
      <c r="D174" s="9" t="s">
        <v>1489</v>
      </c>
      <c r="E174" s="9" t="s">
        <v>2768</v>
      </c>
      <c r="F174" s="4" t="s">
        <v>41</v>
      </c>
      <c r="G174" s="9" t="s">
        <v>3084</v>
      </c>
      <c r="H174" s="164">
        <v>88242.800391728379</v>
      </c>
      <c r="I174" s="165">
        <v>2614823.5258362754</v>
      </c>
      <c r="J174" s="165">
        <v>15784.716884356911</v>
      </c>
      <c r="K174" s="165">
        <v>352953.49629417423</v>
      </c>
      <c r="L174" s="177">
        <f t="shared" si="24"/>
        <v>104027.51727608529</v>
      </c>
      <c r="M174" s="166">
        <f t="shared" si="25"/>
        <v>2967777.0221304498</v>
      </c>
      <c r="N174" s="189">
        <f>INDEX('CHIRP Payment Calc'!AM:AM,MATCH(F174,'CHIRP Payment Calc'!C:C,0))</f>
        <v>2.7399999999999998</v>
      </c>
      <c r="O174" s="189">
        <f>INDEX('CHIRP Payment Calc'!AL:AL,MATCH(FeeCalc!F174,'CHIRP Payment Calc'!C:C,0))</f>
        <v>0</v>
      </c>
      <c r="P174" s="164">
        <f t="shared" si="22"/>
        <v>285035.39733647369</v>
      </c>
      <c r="Q174" s="165">
        <f t="shared" si="26"/>
        <v>14750.825678214116</v>
      </c>
      <c r="R174" s="165">
        <f t="shared" si="27"/>
        <v>2760.6462295619958</v>
      </c>
      <c r="S174" s="165">
        <f t="shared" si="28"/>
        <v>17511.471907776111</v>
      </c>
      <c r="T174" s="165">
        <f t="shared" si="29"/>
        <v>256536.09875154984</v>
      </c>
      <c r="U174" s="165">
        <f t="shared" si="30"/>
        <v>46010.770492699929</v>
      </c>
      <c r="V174" s="165">
        <f t="shared" si="31"/>
        <v>0</v>
      </c>
      <c r="W174" s="165">
        <f t="shared" si="32"/>
        <v>0</v>
      </c>
      <c r="X174" s="166">
        <f t="shared" si="23"/>
        <v>46010.770492699929</v>
      </c>
    </row>
    <row r="175" spans="4:24">
      <c r="D175" s="9" t="s">
        <v>1489</v>
      </c>
      <c r="E175" s="9" t="s">
        <v>2768</v>
      </c>
      <c r="F175" s="4" t="s">
        <v>769</v>
      </c>
      <c r="G175" s="9" t="s">
        <v>3137</v>
      </c>
      <c r="H175" s="164">
        <v>1177845.0643509207</v>
      </c>
      <c r="I175" s="165">
        <v>0</v>
      </c>
      <c r="J175" s="165">
        <v>207688.63625125613</v>
      </c>
      <c r="K175" s="165">
        <v>14948.986308100162</v>
      </c>
      <c r="L175" s="177">
        <f t="shared" si="24"/>
        <v>1385533.7006021768</v>
      </c>
      <c r="M175" s="166">
        <f t="shared" si="25"/>
        <v>14948.986308100162</v>
      </c>
      <c r="N175" s="189">
        <f>INDEX('CHIRP Payment Calc'!AM:AM,MATCH(F175,'CHIRP Payment Calc'!C:C,0))</f>
        <v>0.17</v>
      </c>
      <c r="O175" s="189">
        <f>INDEX('CHIRP Payment Calc'!AL:AL,MATCH(FeeCalc!F175,'CHIRP Payment Calc'!C:C,0))</f>
        <v>0</v>
      </c>
      <c r="P175" s="164">
        <f t="shared" si="22"/>
        <v>235540.72910237007</v>
      </c>
      <c r="Q175" s="165">
        <f t="shared" si="26"/>
        <v>12215.846688626261</v>
      </c>
      <c r="R175" s="165">
        <f t="shared" si="27"/>
        <v>2253.6426486838436</v>
      </c>
      <c r="S175" s="165">
        <f t="shared" si="28"/>
        <v>14469.489337310104</v>
      </c>
      <c r="T175" s="165">
        <f t="shared" si="29"/>
        <v>212449.50762828279</v>
      </c>
      <c r="U175" s="165">
        <f t="shared" si="30"/>
        <v>37560.710811397388</v>
      </c>
      <c r="V175" s="165">
        <f t="shared" si="31"/>
        <v>0</v>
      </c>
      <c r="W175" s="165">
        <f t="shared" si="32"/>
        <v>0</v>
      </c>
      <c r="X175" s="166">
        <f t="shared" si="23"/>
        <v>37560.710811397388</v>
      </c>
    </row>
    <row r="176" spans="4:24">
      <c r="D176" s="9" t="s">
        <v>1489</v>
      </c>
      <c r="E176" s="9" t="s">
        <v>2768</v>
      </c>
      <c r="F176" s="4" t="s">
        <v>1014</v>
      </c>
      <c r="G176" s="9" t="s">
        <v>3087</v>
      </c>
      <c r="H176" s="164">
        <v>1041575.2069776865</v>
      </c>
      <c r="I176" s="165">
        <v>1380073.7784571506</v>
      </c>
      <c r="J176" s="165">
        <v>369575.69266179646</v>
      </c>
      <c r="K176" s="165">
        <v>695628.05406218069</v>
      </c>
      <c r="L176" s="177">
        <f t="shared" si="24"/>
        <v>1411150.8996394831</v>
      </c>
      <c r="M176" s="166">
        <f t="shared" si="25"/>
        <v>2075701.8325193312</v>
      </c>
      <c r="N176" s="189">
        <f>INDEX('CHIRP Payment Calc'!AM:AM,MATCH(F176,'CHIRP Payment Calc'!C:C,0))</f>
        <v>0.74</v>
      </c>
      <c r="O176" s="189">
        <f>INDEX('CHIRP Payment Calc'!AL:AL,MATCH(FeeCalc!F176,'CHIRP Payment Calc'!C:C,0))</f>
        <v>0</v>
      </c>
      <c r="P176" s="164">
        <f t="shared" si="22"/>
        <v>1044251.6657332175</v>
      </c>
      <c r="Q176" s="165">
        <f t="shared" si="26"/>
        <v>47022.838256658411</v>
      </c>
      <c r="R176" s="165">
        <f t="shared" si="27"/>
        <v>17456.553993812515</v>
      </c>
      <c r="S176" s="165">
        <f t="shared" si="28"/>
        <v>64479.392250470926</v>
      </c>
      <c r="T176" s="165">
        <f t="shared" si="29"/>
        <v>817788.49142014631</v>
      </c>
      <c r="U176" s="165">
        <f t="shared" si="30"/>
        <v>290942.56656354188</v>
      </c>
      <c r="V176" s="165">
        <f t="shared" si="31"/>
        <v>0</v>
      </c>
      <c r="W176" s="165">
        <f t="shared" si="32"/>
        <v>0</v>
      </c>
      <c r="X176" s="166">
        <f t="shared" si="23"/>
        <v>290942.56656354188</v>
      </c>
    </row>
    <row r="177" spans="4:24">
      <c r="D177" s="9" t="s">
        <v>1489</v>
      </c>
      <c r="E177" s="9" t="s">
        <v>2768</v>
      </c>
      <c r="F177" s="4" t="s">
        <v>726</v>
      </c>
      <c r="G177" s="9" t="s">
        <v>3526</v>
      </c>
      <c r="H177" s="164">
        <v>671196.89041042351</v>
      </c>
      <c r="I177" s="165">
        <v>30275.746696948107</v>
      </c>
      <c r="J177" s="165">
        <v>244626.09831534288</v>
      </c>
      <c r="K177" s="165">
        <v>9492.8892410944336</v>
      </c>
      <c r="L177" s="177">
        <f t="shared" si="24"/>
        <v>915822.98872576642</v>
      </c>
      <c r="M177" s="166">
        <f t="shared" si="25"/>
        <v>39768.635938042542</v>
      </c>
      <c r="N177" s="189">
        <f>INDEX('CHIRP Payment Calc'!AM:AM,MATCH(F177,'CHIRP Payment Calc'!C:C,0))</f>
        <v>0.28000000000000003</v>
      </c>
      <c r="O177" s="189">
        <f>INDEX('CHIRP Payment Calc'!AL:AL,MATCH(FeeCalc!F177,'CHIRP Payment Calc'!C:C,0))</f>
        <v>0</v>
      </c>
      <c r="P177" s="164">
        <f t="shared" si="22"/>
        <v>256430.43684321461</v>
      </c>
      <c r="Q177" s="165">
        <f t="shared" si="26"/>
        <v>11465.538393217845</v>
      </c>
      <c r="R177" s="165">
        <f t="shared" si="27"/>
        <v>4372.0409060614484</v>
      </c>
      <c r="S177" s="165">
        <f t="shared" si="28"/>
        <v>15837.579299279292</v>
      </c>
      <c r="T177" s="165">
        <f t="shared" si="29"/>
        <v>199400.66770813643</v>
      </c>
      <c r="U177" s="165">
        <f t="shared" si="30"/>
        <v>72867.348434357467</v>
      </c>
      <c r="V177" s="165">
        <f t="shared" si="31"/>
        <v>0</v>
      </c>
      <c r="W177" s="165">
        <f t="shared" si="32"/>
        <v>0</v>
      </c>
      <c r="X177" s="166">
        <f t="shared" si="23"/>
        <v>72867.348434357467</v>
      </c>
    </row>
    <row r="178" spans="4:24">
      <c r="D178" s="9" t="s">
        <v>1489</v>
      </c>
      <c r="E178" s="9" t="s">
        <v>2768</v>
      </c>
      <c r="F178" s="4" t="s">
        <v>546</v>
      </c>
      <c r="G178" s="9" t="s">
        <v>3351</v>
      </c>
      <c r="H178" s="164">
        <v>221651.39724480771</v>
      </c>
      <c r="I178" s="165">
        <v>40258.963656869528</v>
      </c>
      <c r="J178" s="165">
        <v>286476.0111642119</v>
      </c>
      <c r="K178" s="165">
        <v>40507.264596223897</v>
      </c>
      <c r="L178" s="177">
        <f t="shared" si="24"/>
        <v>508127.40840901958</v>
      </c>
      <c r="M178" s="166">
        <f t="shared" si="25"/>
        <v>80766.228253093432</v>
      </c>
      <c r="N178" s="189">
        <f>INDEX('CHIRP Payment Calc'!AM:AM,MATCH(F178,'CHIRP Payment Calc'!C:C,0))</f>
        <v>0.17</v>
      </c>
      <c r="O178" s="189">
        <f>INDEX('CHIRP Payment Calc'!AL:AL,MATCH(FeeCalc!F178,'CHIRP Payment Calc'!C:C,0))</f>
        <v>0</v>
      </c>
      <c r="P178" s="164">
        <f t="shared" si="22"/>
        <v>86381.659429533334</v>
      </c>
      <c r="Q178" s="165">
        <f t="shared" si="26"/>
        <v>2298.8248361464143</v>
      </c>
      <c r="R178" s="165">
        <f t="shared" si="27"/>
        <v>3108.5694828457044</v>
      </c>
      <c r="S178" s="165">
        <f t="shared" si="28"/>
        <v>5407.3943189921192</v>
      </c>
      <c r="T178" s="165">
        <f t="shared" si="29"/>
        <v>39979.562367763727</v>
      </c>
      <c r="U178" s="165">
        <f t="shared" si="30"/>
        <v>51809.491380761734</v>
      </c>
      <c r="V178" s="165">
        <f t="shared" si="31"/>
        <v>0</v>
      </c>
      <c r="W178" s="165">
        <f t="shared" si="32"/>
        <v>0</v>
      </c>
      <c r="X178" s="166">
        <f t="shared" si="23"/>
        <v>51809.491380761734</v>
      </c>
    </row>
    <row r="179" spans="4:24">
      <c r="D179" s="9" t="s">
        <v>1489</v>
      </c>
      <c r="E179" s="9" t="s">
        <v>2768</v>
      </c>
      <c r="F179" s="4" t="s">
        <v>136</v>
      </c>
      <c r="G179" s="9" t="s">
        <v>3546</v>
      </c>
      <c r="H179" s="164">
        <v>402767.8865217109</v>
      </c>
      <c r="I179" s="165">
        <v>52867.758562044648</v>
      </c>
      <c r="J179" s="165">
        <v>146598.81093507385</v>
      </c>
      <c r="K179" s="165">
        <v>23726.975949773077</v>
      </c>
      <c r="L179" s="177">
        <f t="shared" si="24"/>
        <v>549366.69745678478</v>
      </c>
      <c r="M179" s="166">
        <f t="shared" si="25"/>
        <v>76594.734511817718</v>
      </c>
      <c r="N179" s="189">
        <f>INDEX('CHIRP Payment Calc'!AM:AM,MATCH(F179,'CHIRP Payment Calc'!C:C,0))</f>
        <v>0.31000000000000005</v>
      </c>
      <c r="O179" s="189">
        <f>INDEX('CHIRP Payment Calc'!AL:AL,MATCH(FeeCalc!F179,'CHIRP Payment Calc'!C:C,0))</f>
        <v>0</v>
      </c>
      <c r="P179" s="164">
        <f t="shared" si="22"/>
        <v>170303.67621160331</v>
      </c>
      <c r="Q179" s="165">
        <f t="shared" si="26"/>
        <v>7617.3342994689638</v>
      </c>
      <c r="R179" s="165">
        <f t="shared" si="27"/>
        <v>2900.7849823323127</v>
      </c>
      <c r="S179" s="165">
        <f t="shared" si="28"/>
        <v>10518.119281801277</v>
      </c>
      <c r="T179" s="165">
        <f t="shared" si="29"/>
        <v>132475.37912119937</v>
      </c>
      <c r="U179" s="165">
        <f t="shared" si="30"/>
        <v>48346.416372205211</v>
      </c>
      <c r="V179" s="165">
        <f t="shared" si="31"/>
        <v>0</v>
      </c>
      <c r="W179" s="165">
        <f t="shared" si="32"/>
        <v>0</v>
      </c>
      <c r="X179" s="166">
        <f t="shared" si="23"/>
        <v>48346.416372205211</v>
      </c>
    </row>
    <row r="180" spans="4:24">
      <c r="D180" s="9" t="s">
        <v>1489</v>
      </c>
      <c r="E180" s="9" t="s">
        <v>2768</v>
      </c>
      <c r="F180" s="4" t="s">
        <v>160</v>
      </c>
      <c r="G180" s="9" t="s">
        <v>3507</v>
      </c>
      <c r="H180" s="164">
        <v>855241.36419503356</v>
      </c>
      <c r="I180" s="165">
        <v>222968.6603066627</v>
      </c>
      <c r="J180" s="165">
        <v>245249.91058077081</v>
      </c>
      <c r="K180" s="165">
        <v>314022.62437077163</v>
      </c>
      <c r="L180" s="177">
        <f t="shared" si="24"/>
        <v>1100491.2747758045</v>
      </c>
      <c r="M180" s="166">
        <f t="shared" si="25"/>
        <v>536991.28467743436</v>
      </c>
      <c r="N180" s="189">
        <f>INDEX('CHIRP Payment Calc'!AM:AM,MATCH(F180,'CHIRP Payment Calc'!C:C,0))</f>
        <v>0.38</v>
      </c>
      <c r="O180" s="189">
        <f>INDEX('CHIRP Payment Calc'!AL:AL,MATCH(FeeCalc!F180,'CHIRP Payment Calc'!C:C,0))</f>
        <v>0</v>
      </c>
      <c r="P180" s="164">
        <f t="shared" si="22"/>
        <v>418186.68441480573</v>
      </c>
      <c r="Q180" s="165">
        <f t="shared" si="26"/>
        <v>19827.080963036056</v>
      </c>
      <c r="R180" s="165">
        <f t="shared" si="27"/>
        <v>5948.6148523846541</v>
      </c>
      <c r="S180" s="165">
        <f t="shared" si="28"/>
        <v>25775.69581542071</v>
      </c>
      <c r="T180" s="165">
        <f t="shared" si="29"/>
        <v>344818.79935714882</v>
      </c>
      <c r="U180" s="165">
        <f t="shared" si="30"/>
        <v>99143.580873077561</v>
      </c>
      <c r="V180" s="165">
        <f t="shared" si="31"/>
        <v>0</v>
      </c>
      <c r="W180" s="165">
        <f t="shared" si="32"/>
        <v>0</v>
      </c>
      <c r="X180" s="166">
        <f t="shared" si="23"/>
        <v>99143.580873077561</v>
      </c>
    </row>
    <row r="181" spans="4:24">
      <c r="D181" s="9" t="s">
        <v>1489</v>
      </c>
      <c r="E181" s="9" t="s">
        <v>2768</v>
      </c>
      <c r="F181" s="4" t="s">
        <v>372</v>
      </c>
      <c r="G181" s="9" t="s">
        <v>3559</v>
      </c>
      <c r="H181" s="164">
        <v>0</v>
      </c>
      <c r="I181" s="165">
        <v>115778.72755879087</v>
      </c>
      <c r="J181" s="165">
        <v>0</v>
      </c>
      <c r="K181" s="165">
        <v>46336.760977766564</v>
      </c>
      <c r="L181" s="177">
        <f t="shared" si="24"/>
        <v>0</v>
      </c>
      <c r="M181" s="166">
        <f t="shared" si="25"/>
        <v>162115.48853655742</v>
      </c>
      <c r="N181" s="189">
        <f>INDEX('CHIRP Payment Calc'!AM:AM,MATCH(F181,'CHIRP Payment Calc'!C:C,0))</f>
        <v>0.17</v>
      </c>
      <c r="O181" s="189">
        <f>INDEX('CHIRP Payment Calc'!AL:AL,MATCH(FeeCalc!F181,'CHIRP Payment Calc'!C:C,0))</f>
        <v>0</v>
      </c>
      <c r="P181" s="164">
        <f t="shared" si="22"/>
        <v>0</v>
      </c>
      <c r="Q181" s="165">
        <f t="shared" si="26"/>
        <v>0</v>
      </c>
      <c r="R181" s="165">
        <f t="shared" si="27"/>
        <v>0</v>
      </c>
      <c r="S181" s="165">
        <f t="shared" si="28"/>
        <v>0</v>
      </c>
      <c r="T181" s="165">
        <f t="shared" si="29"/>
        <v>0</v>
      </c>
      <c r="U181" s="165">
        <f t="shared" si="30"/>
        <v>0</v>
      </c>
      <c r="V181" s="165">
        <f t="shared" si="31"/>
        <v>0</v>
      </c>
      <c r="W181" s="165">
        <f t="shared" si="32"/>
        <v>0</v>
      </c>
      <c r="X181" s="166">
        <f t="shared" si="23"/>
        <v>0</v>
      </c>
    </row>
    <row r="182" spans="4:24">
      <c r="D182" s="9" t="s">
        <v>1489</v>
      </c>
      <c r="E182" s="9" t="s">
        <v>2768</v>
      </c>
      <c r="F182" s="4" t="s">
        <v>2048</v>
      </c>
      <c r="G182" s="9" t="s">
        <v>3108</v>
      </c>
      <c r="H182" s="164">
        <v>389559.77156639099</v>
      </c>
      <c r="I182" s="165">
        <v>24393.369695335623</v>
      </c>
      <c r="J182" s="165">
        <v>181932.02307282385</v>
      </c>
      <c r="K182" s="165">
        <v>70595.495064455245</v>
      </c>
      <c r="L182" s="177">
        <f t="shared" si="24"/>
        <v>571491.79463921487</v>
      </c>
      <c r="M182" s="166">
        <f t="shared" si="25"/>
        <v>94988.864759790871</v>
      </c>
      <c r="N182" s="189">
        <f>INDEX('CHIRP Payment Calc'!AM:AM,MATCH(F182,'CHIRP Payment Calc'!C:C,0))</f>
        <v>0.28000000000000003</v>
      </c>
      <c r="O182" s="189">
        <f>INDEX('CHIRP Payment Calc'!AL:AL,MATCH(FeeCalc!F182,'CHIRP Payment Calc'!C:C,0))</f>
        <v>0</v>
      </c>
      <c r="P182" s="164">
        <f t="shared" si="22"/>
        <v>160017.70249898019</v>
      </c>
      <c r="Q182" s="165">
        <f t="shared" si="26"/>
        <v>6654.5488829908709</v>
      </c>
      <c r="R182" s="165">
        <f t="shared" si="27"/>
        <v>3251.5510506632359</v>
      </c>
      <c r="S182" s="165">
        <f t="shared" si="28"/>
        <v>9906.0999336541063</v>
      </c>
      <c r="T182" s="165">
        <f t="shared" si="29"/>
        <v>115731.28492158036</v>
      </c>
      <c r="U182" s="165">
        <f t="shared" si="30"/>
        <v>54192.517511053928</v>
      </c>
      <c r="V182" s="165">
        <f t="shared" si="31"/>
        <v>0</v>
      </c>
      <c r="W182" s="165">
        <f t="shared" si="32"/>
        <v>0</v>
      </c>
      <c r="X182" s="166">
        <f t="shared" si="23"/>
        <v>54192.517511053928</v>
      </c>
    </row>
    <row r="183" spans="4:24">
      <c r="D183" s="9" t="s">
        <v>1489</v>
      </c>
      <c r="E183" s="9" t="s">
        <v>2768</v>
      </c>
      <c r="F183" s="4" t="s">
        <v>98</v>
      </c>
      <c r="G183" s="9" t="s">
        <v>3365</v>
      </c>
      <c r="H183" s="164">
        <v>1273254.9878476907</v>
      </c>
      <c r="I183" s="165">
        <v>877314.04822674021</v>
      </c>
      <c r="J183" s="165">
        <v>389822.61046847072</v>
      </c>
      <c r="K183" s="165">
        <v>283946.77728758677</v>
      </c>
      <c r="L183" s="177">
        <f t="shared" si="24"/>
        <v>1663077.5983161614</v>
      </c>
      <c r="M183" s="166">
        <f t="shared" si="25"/>
        <v>1161260.825514327</v>
      </c>
      <c r="N183" s="189">
        <f>INDEX('CHIRP Payment Calc'!AM:AM,MATCH(F183,'CHIRP Payment Calc'!C:C,0))</f>
        <v>1.01</v>
      </c>
      <c r="O183" s="189">
        <f>INDEX('CHIRP Payment Calc'!AL:AL,MATCH(FeeCalc!F183,'CHIRP Payment Calc'!C:C,0))</f>
        <v>0</v>
      </c>
      <c r="P183" s="164">
        <f t="shared" si="22"/>
        <v>1679708.374299323</v>
      </c>
      <c r="Q183" s="165">
        <f t="shared" si="26"/>
        <v>78455.4731238776</v>
      </c>
      <c r="R183" s="165">
        <f t="shared" si="27"/>
        <v>25131.117228073752</v>
      </c>
      <c r="S183" s="165">
        <f t="shared" si="28"/>
        <v>103586.59035195135</v>
      </c>
      <c r="T183" s="165">
        <f t="shared" si="29"/>
        <v>1364443.0108500451</v>
      </c>
      <c r="U183" s="165">
        <f t="shared" si="30"/>
        <v>418851.95380122919</v>
      </c>
      <c r="V183" s="165">
        <f t="shared" si="31"/>
        <v>0</v>
      </c>
      <c r="W183" s="165">
        <f t="shared" si="32"/>
        <v>0</v>
      </c>
      <c r="X183" s="166">
        <f t="shared" si="23"/>
        <v>418851.95380122919</v>
      </c>
    </row>
    <row r="184" spans="4:24">
      <c r="D184" s="9" t="s">
        <v>1489</v>
      </c>
      <c r="E184" s="9" t="s">
        <v>2768</v>
      </c>
      <c r="F184" s="4" t="s">
        <v>963</v>
      </c>
      <c r="G184" s="9" t="s">
        <v>2975</v>
      </c>
      <c r="H184" s="164">
        <v>783695.1174788347</v>
      </c>
      <c r="I184" s="165">
        <v>33694.135934854261</v>
      </c>
      <c r="J184" s="165">
        <v>141980.88691550781</v>
      </c>
      <c r="K184" s="165">
        <v>78339.24682408158</v>
      </c>
      <c r="L184" s="177">
        <f t="shared" si="24"/>
        <v>925676.00439434254</v>
      </c>
      <c r="M184" s="166">
        <f t="shared" si="25"/>
        <v>112033.38275893584</v>
      </c>
      <c r="N184" s="189">
        <f>INDEX('CHIRP Payment Calc'!AM:AM,MATCH(F184,'CHIRP Payment Calc'!C:C,0))</f>
        <v>1.67</v>
      </c>
      <c r="O184" s="189">
        <f>INDEX('CHIRP Payment Calc'!AL:AL,MATCH(FeeCalc!F184,'CHIRP Payment Calc'!C:C,0))</f>
        <v>0</v>
      </c>
      <c r="P184" s="164">
        <f t="shared" si="22"/>
        <v>1545878.927338552</v>
      </c>
      <c r="Q184" s="165">
        <f t="shared" si="26"/>
        <v>79845.436239687115</v>
      </c>
      <c r="R184" s="165">
        <f t="shared" si="27"/>
        <v>15134.55837120626</v>
      </c>
      <c r="S184" s="165">
        <f t="shared" si="28"/>
        <v>94979.99461089338</v>
      </c>
      <c r="T184" s="165">
        <f t="shared" si="29"/>
        <v>1388616.282429341</v>
      </c>
      <c r="U184" s="165">
        <f t="shared" si="30"/>
        <v>252242.63952010431</v>
      </c>
      <c r="V184" s="165">
        <f t="shared" si="31"/>
        <v>0</v>
      </c>
      <c r="W184" s="165">
        <f t="shared" si="32"/>
        <v>0</v>
      </c>
      <c r="X184" s="166">
        <f t="shared" si="23"/>
        <v>252242.63952010431</v>
      </c>
    </row>
    <row r="185" spans="4:24">
      <c r="D185" s="9" t="s">
        <v>1489</v>
      </c>
      <c r="E185" s="9" t="s">
        <v>2768</v>
      </c>
      <c r="F185" s="4" t="s">
        <v>754</v>
      </c>
      <c r="G185" s="9" t="s">
        <v>3554</v>
      </c>
      <c r="H185" s="164">
        <v>611637.02228845714</v>
      </c>
      <c r="I185" s="165">
        <v>1367903.5043944514</v>
      </c>
      <c r="J185" s="165">
        <v>172172.74353584947</v>
      </c>
      <c r="K185" s="165">
        <v>298332.84908201033</v>
      </c>
      <c r="L185" s="177">
        <f t="shared" si="24"/>
        <v>783809.76582430664</v>
      </c>
      <c r="M185" s="166">
        <f t="shared" si="25"/>
        <v>1666236.3534764617</v>
      </c>
      <c r="N185" s="189">
        <f>INDEX('CHIRP Payment Calc'!AM:AM,MATCH(F185,'CHIRP Payment Calc'!C:C,0))</f>
        <v>0.94000000000000006</v>
      </c>
      <c r="O185" s="189">
        <f>INDEX('CHIRP Payment Calc'!AL:AL,MATCH(FeeCalc!F185,'CHIRP Payment Calc'!C:C,0))</f>
        <v>0</v>
      </c>
      <c r="P185" s="164">
        <f t="shared" si="22"/>
        <v>736781.17987484834</v>
      </c>
      <c r="Q185" s="165">
        <f t="shared" si="26"/>
        <v>35075.841967842025</v>
      </c>
      <c r="R185" s="165">
        <f t="shared" si="27"/>
        <v>10330.364612150968</v>
      </c>
      <c r="S185" s="165">
        <f t="shared" si="28"/>
        <v>45406.206579992991</v>
      </c>
      <c r="T185" s="165">
        <f t="shared" si="29"/>
        <v>610014.64291899174</v>
      </c>
      <c r="U185" s="165">
        <f t="shared" si="30"/>
        <v>172172.74353584947</v>
      </c>
      <c r="V185" s="165">
        <f t="shared" si="31"/>
        <v>0</v>
      </c>
      <c r="W185" s="165">
        <f t="shared" si="32"/>
        <v>0</v>
      </c>
      <c r="X185" s="166">
        <f t="shared" si="23"/>
        <v>172172.74353584947</v>
      </c>
    </row>
    <row r="186" spans="4:24">
      <c r="D186" s="9" t="s">
        <v>1489</v>
      </c>
      <c r="E186" s="9" t="s">
        <v>2768</v>
      </c>
      <c r="F186" s="4" t="s">
        <v>1051</v>
      </c>
      <c r="G186" s="9" t="s">
        <v>3558</v>
      </c>
      <c r="H186" s="164">
        <v>208907.46820677121</v>
      </c>
      <c r="I186" s="165">
        <v>16845.167360921612</v>
      </c>
      <c r="J186" s="165">
        <v>62117.833542594679</v>
      </c>
      <c r="K186" s="165">
        <v>54920.137193625938</v>
      </c>
      <c r="L186" s="177">
        <f t="shared" si="24"/>
        <v>271025.30174936587</v>
      </c>
      <c r="M186" s="166">
        <f t="shared" si="25"/>
        <v>71765.304554547547</v>
      </c>
      <c r="N186" s="189">
        <f>INDEX('CHIRP Payment Calc'!AM:AM,MATCH(F186,'CHIRP Payment Calc'!C:C,0))</f>
        <v>0.65</v>
      </c>
      <c r="O186" s="189">
        <f>INDEX('CHIRP Payment Calc'!AL:AL,MATCH(FeeCalc!F186,'CHIRP Payment Calc'!C:C,0))</f>
        <v>0</v>
      </c>
      <c r="P186" s="164">
        <f t="shared" si="22"/>
        <v>176166.44613708783</v>
      </c>
      <c r="Q186" s="165">
        <f t="shared" si="26"/>
        <v>8284.2616702685136</v>
      </c>
      <c r="R186" s="165">
        <f t="shared" si="27"/>
        <v>2577.2292640012693</v>
      </c>
      <c r="S186" s="165">
        <f t="shared" si="28"/>
        <v>10861.490934269783</v>
      </c>
      <c r="T186" s="165">
        <f t="shared" si="29"/>
        <v>144074.11600466981</v>
      </c>
      <c r="U186" s="165">
        <f t="shared" si="30"/>
        <v>42953.821066687815</v>
      </c>
      <c r="V186" s="165">
        <f t="shared" si="31"/>
        <v>0</v>
      </c>
      <c r="W186" s="165">
        <f t="shared" si="32"/>
        <v>0</v>
      </c>
      <c r="X186" s="166">
        <f t="shared" si="23"/>
        <v>42953.821066687815</v>
      </c>
    </row>
    <row r="187" spans="4:24">
      <c r="D187" s="9" t="s">
        <v>1489</v>
      </c>
      <c r="E187" s="9" t="s">
        <v>2768</v>
      </c>
      <c r="F187" s="4" t="s">
        <v>77</v>
      </c>
      <c r="G187" s="9" t="s">
        <v>2863</v>
      </c>
      <c r="H187" s="164">
        <v>855590.20256998518</v>
      </c>
      <c r="I187" s="165">
        <v>928737.18648446142</v>
      </c>
      <c r="J187" s="165">
        <v>226086.9397489109</v>
      </c>
      <c r="K187" s="165">
        <v>178671.03124777385</v>
      </c>
      <c r="L187" s="177">
        <f t="shared" si="24"/>
        <v>1081677.142318896</v>
      </c>
      <c r="M187" s="166">
        <f t="shared" si="25"/>
        <v>1107408.2177322353</v>
      </c>
      <c r="N187" s="189">
        <f>INDEX('CHIRP Payment Calc'!AM:AM,MATCH(F187,'CHIRP Payment Calc'!C:C,0))</f>
        <v>0.31000000000000005</v>
      </c>
      <c r="O187" s="189">
        <f>INDEX('CHIRP Payment Calc'!AL:AL,MATCH(FeeCalc!F187,'CHIRP Payment Calc'!C:C,0))</f>
        <v>0</v>
      </c>
      <c r="P187" s="164">
        <f t="shared" si="22"/>
        <v>335319.91411885782</v>
      </c>
      <c r="Q187" s="165">
        <f t="shared" si="26"/>
        <v>16181.321337729431</v>
      </c>
      <c r="R187" s="165">
        <f t="shared" si="27"/>
        <v>4473.6351907763228</v>
      </c>
      <c r="S187" s="165">
        <f t="shared" si="28"/>
        <v>20654.956528505754</v>
      </c>
      <c r="T187" s="165">
        <f t="shared" si="29"/>
        <v>281414.28413442487</v>
      </c>
      <c r="U187" s="165">
        <f t="shared" si="30"/>
        <v>74560.586512938709</v>
      </c>
      <c r="V187" s="165">
        <f t="shared" si="31"/>
        <v>0</v>
      </c>
      <c r="W187" s="165">
        <f t="shared" si="32"/>
        <v>0</v>
      </c>
      <c r="X187" s="166">
        <f t="shared" si="23"/>
        <v>74560.586512938709</v>
      </c>
    </row>
    <row r="188" spans="4:24">
      <c r="D188" s="9" t="s">
        <v>1489</v>
      </c>
      <c r="E188" s="9" t="s">
        <v>2768</v>
      </c>
      <c r="F188" s="4" t="s">
        <v>543</v>
      </c>
      <c r="G188" s="9" t="s">
        <v>3525</v>
      </c>
      <c r="H188" s="164">
        <v>663818.42454781616</v>
      </c>
      <c r="I188" s="165">
        <v>5923.9266504553962</v>
      </c>
      <c r="J188" s="165">
        <v>312117.24904826924</v>
      </c>
      <c r="K188" s="165">
        <v>13691.087830231636</v>
      </c>
      <c r="L188" s="177">
        <f t="shared" si="24"/>
        <v>975935.6735960854</v>
      </c>
      <c r="M188" s="166">
        <f t="shared" si="25"/>
        <v>19615.01448068703</v>
      </c>
      <c r="N188" s="189">
        <f>INDEX('CHIRP Payment Calc'!AM:AM,MATCH(F188,'CHIRP Payment Calc'!C:C,0))</f>
        <v>0.39</v>
      </c>
      <c r="O188" s="189">
        <f>INDEX('CHIRP Payment Calc'!AL:AL,MATCH(FeeCalc!F188,'CHIRP Payment Calc'!C:C,0))</f>
        <v>0</v>
      </c>
      <c r="P188" s="164">
        <f t="shared" si="22"/>
        <v>380614.91270247335</v>
      </c>
      <c r="Q188" s="165">
        <f t="shared" si="26"/>
        <v>15794.300446137699</v>
      </c>
      <c r="R188" s="165">
        <f t="shared" si="27"/>
        <v>7769.7272635420231</v>
      </c>
      <c r="S188" s="165">
        <f t="shared" si="28"/>
        <v>23564.027709679722</v>
      </c>
      <c r="T188" s="165">
        <f t="shared" si="29"/>
        <v>274683.48601978604</v>
      </c>
      <c r="U188" s="165">
        <f t="shared" si="30"/>
        <v>129495.45439236704</v>
      </c>
      <c r="V188" s="165">
        <f t="shared" si="31"/>
        <v>0</v>
      </c>
      <c r="W188" s="165">
        <f t="shared" si="32"/>
        <v>0</v>
      </c>
      <c r="X188" s="166">
        <f t="shared" si="23"/>
        <v>129495.45439236704</v>
      </c>
    </row>
    <row r="189" spans="4:24">
      <c r="D189" s="9" t="s">
        <v>1489</v>
      </c>
      <c r="E189" s="9" t="s">
        <v>2768</v>
      </c>
      <c r="F189" s="4" t="s">
        <v>280</v>
      </c>
      <c r="G189" s="9" t="s">
        <v>3382</v>
      </c>
      <c r="H189" s="164">
        <v>689852.15781977854</v>
      </c>
      <c r="I189" s="165">
        <v>207323.65718870267</v>
      </c>
      <c r="J189" s="165">
        <v>155005.83018312132</v>
      </c>
      <c r="K189" s="165">
        <v>195726.55112536068</v>
      </c>
      <c r="L189" s="177">
        <f t="shared" si="24"/>
        <v>844857.9880028998</v>
      </c>
      <c r="M189" s="166">
        <f t="shared" si="25"/>
        <v>403050.20831406338</v>
      </c>
      <c r="N189" s="189">
        <f>INDEX('CHIRP Payment Calc'!AM:AM,MATCH(F189,'CHIRP Payment Calc'!C:C,0))</f>
        <v>0.48</v>
      </c>
      <c r="O189" s="189">
        <f>INDEX('CHIRP Payment Calc'!AL:AL,MATCH(FeeCalc!F189,'CHIRP Payment Calc'!C:C,0))</f>
        <v>0</v>
      </c>
      <c r="P189" s="164">
        <f t="shared" si="22"/>
        <v>405531.83424139192</v>
      </c>
      <c r="Q189" s="165">
        <f t="shared" si="26"/>
        <v>20201.506160027464</v>
      </c>
      <c r="R189" s="165">
        <f t="shared" si="27"/>
        <v>4749.1147970998882</v>
      </c>
      <c r="S189" s="165">
        <f t="shared" si="28"/>
        <v>24950.62095712735</v>
      </c>
      <c r="T189" s="165">
        <f t="shared" si="29"/>
        <v>351330.54191352113</v>
      </c>
      <c r="U189" s="165">
        <f t="shared" si="30"/>
        <v>79151.913284998125</v>
      </c>
      <c r="V189" s="165">
        <f t="shared" si="31"/>
        <v>0</v>
      </c>
      <c r="W189" s="165">
        <f t="shared" si="32"/>
        <v>0</v>
      </c>
      <c r="X189" s="166">
        <f t="shared" si="23"/>
        <v>79151.913284998125</v>
      </c>
    </row>
    <row r="190" spans="4:24">
      <c r="D190" s="9" t="s">
        <v>1489</v>
      </c>
      <c r="E190" s="9" t="s">
        <v>2768</v>
      </c>
      <c r="F190" s="4" t="s">
        <v>817</v>
      </c>
      <c r="G190" s="9" t="s">
        <v>3527</v>
      </c>
      <c r="H190" s="164">
        <v>721332.61408169882</v>
      </c>
      <c r="I190" s="165">
        <v>14400.45478534283</v>
      </c>
      <c r="J190" s="165">
        <v>204683.38653031443</v>
      </c>
      <c r="K190" s="165">
        <v>2509.6991802241928</v>
      </c>
      <c r="L190" s="177">
        <f t="shared" si="24"/>
        <v>926016.00061201327</v>
      </c>
      <c r="M190" s="166">
        <f t="shared" si="25"/>
        <v>16910.153965567024</v>
      </c>
      <c r="N190" s="189">
        <f>INDEX('CHIRP Payment Calc'!AM:AM,MATCH(F190,'CHIRP Payment Calc'!C:C,0))</f>
        <v>0.42000000000000004</v>
      </c>
      <c r="O190" s="189">
        <f>INDEX('CHIRP Payment Calc'!AL:AL,MATCH(FeeCalc!F190,'CHIRP Payment Calc'!C:C,0))</f>
        <v>0</v>
      </c>
      <c r="P190" s="164">
        <f t="shared" si="22"/>
        <v>388926.72025704558</v>
      </c>
      <c r="Q190" s="165">
        <f t="shared" si="26"/>
        <v>18482.95239265043</v>
      </c>
      <c r="R190" s="165">
        <f t="shared" si="27"/>
        <v>5487.2567452807707</v>
      </c>
      <c r="S190" s="165">
        <f t="shared" si="28"/>
        <v>23970.209137931201</v>
      </c>
      <c r="T190" s="165">
        <f t="shared" si="29"/>
        <v>321442.650306964</v>
      </c>
      <c r="U190" s="165">
        <f t="shared" si="30"/>
        <v>91454.27908801283</v>
      </c>
      <c r="V190" s="165">
        <f t="shared" si="31"/>
        <v>0</v>
      </c>
      <c r="W190" s="165">
        <f t="shared" si="32"/>
        <v>0</v>
      </c>
      <c r="X190" s="166">
        <f t="shared" si="23"/>
        <v>91454.27908801283</v>
      </c>
    </row>
    <row r="191" spans="4:24">
      <c r="D191" s="9" t="s">
        <v>1489</v>
      </c>
      <c r="E191" s="9" t="s">
        <v>2768</v>
      </c>
      <c r="F191" s="4" t="s">
        <v>89</v>
      </c>
      <c r="G191" s="9" t="s">
        <v>3145</v>
      </c>
      <c r="H191" s="164">
        <v>1639568.7998196341</v>
      </c>
      <c r="I191" s="165">
        <v>138106.93660513789</v>
      </c>
      <c r="J191" s="165">
        <v>654212.07320826512</v>
      </c>
      <c r="K191" s="165">
        <v>245480.17411323835</v>
      </c>
      <c r="L191" s="177">
        <f t="shared" si="24"/>
        <v>2293780.8730278993</v>
      </c>
      <c r="M191" s="166">
        <f t="shared" si="25"/>
        <v>383587.11071837624</v>
      </c>
      <c r="N191" s="189">
        <f>INDEX('CHIRP Payment Calc'!AM:AM,MATCH(F191,'CHIRP Payment Calc'!C:C,0))</f>
        <v>0.52</v>
      </c>
      <c r="O191" s="189">
        <f>INDEX('CHIRP Payment Calc'!AL:AL,MATCH(FeeCalc!F191,'CHIRP Payment Calc'!C:C,0))</f>
        <v>0</v>
      </c>
      <c r="P191" s="164">
        <f t="shared" si="22"/>
        <v>1192766.0539745076</v>
      </c>
      <c r="Q191" s="165">
        <f t="shared" si="26"/>
        <v>52013.906752898743</v>
      </c>
      <c r="R191" s="165">
        <f t="shared" si="27"/>
        <v>21714.273068189232</v>
      </c>
      <c r="S191" s="165">
        <f t="shared" si="28"/>
        <v>73728.179821087979</v>
      </c>
      <c r="T191" s="165">
        <f t="shared" si="29"/>
        <v>904589.68265910854</v>
      </c>
      <c r="U191" s="165">
        <f t="shared" si="30"/>
        <v>361904.55113648716</v>
      </c>
      <c r="V191" s="165">
        <f t="shared" si="31"/>
        <v>0</v>
      </c>
      <c r="W191" s="165">
        <f t="shared" si="32"/>
        <v>0</v>
      </c>
      <c r="X191" s="166">
        <f t="shared" si="23"/>
        <v>361904.55113648716</v>
      </c>
    </row>
    <row r="192" spans="4:24">
      <c r="D192" s="9" t="s">
        <v>1489</v>
      </c>
      <c r="E192" s="9" t="s">
        <v>2768</v>
      </c>
      <c r="F192" s="4" t="s">
        <v>708</v>
      </c>
      <c r="G192" s="9" t="s">
        <v>3109</v>
      </c>
      <c r="H192" s="164">
        <v>425724.95360911475</v>
      </c>
      <c r="I192" s="165">
        <v>4885.9556895882479</v>
      </c>
      <c r="J192" s="165">
        <v>254787.56782839759</v>
      </c>
      <c r="K192" s="165">
        <v>39264.07522119263</v>
      </c>
      <c r="L192" s="177">
        <f t="shared" si="24"/>
        <v>680512.52143751236</v>
      </c>
      <c r="M192" s="166">
        <f t="shared" si="25"/>
        <v>44150.030910780879</v>
      </c>
      <c r="N192" s="189">
        <f>INDEX('CHIRP Payment Calc'!AM:AM,MATCH(F192,'CHIRP Payment Calc'!C:C,0))</f>
        <v>0.52</v>
      </c>
      <c r="O192" s="189">
        <f>INDEX('CHIRP Payment Calc'!AL:AL,MATCH(FeeCalc!F192,'CHIRP Payment Calc'!C:C,0))</f>
        <v>0</v>
      </c>
      <c r="P192" s="164">
        <f t="shared" si="22"/>
        <v>353866.51114750642</v>
      </c>
      <c r="Q192" s="165">
        <f t="shared" si="26"/>
        <v>13505.757148978815</v>
      </c>
      <c r="R192" s="165">
        <f t="shared" si="27"/>
        <v>8456.778847070218</v>
      </c>
      <c r="S192" s="165">
        <f t="shared" si="28"/>
        <v>21962.535996049031</v>
      </c>
      <c r="T192" s="165">
        <f t="shared" si="29"/>
        <v>234882.73302571851</v>
      </c>
      <c r="U192" s="165">
        <f t="shared" si="30"/>
        <v>140946.31411783697</v>
      </c>
      <c r="V192" s="165">
        <f t="shared" si="31"/>
        <v>0</v>
      </c>
      <c r="W192" s="165">
        <f t="shared" si="32"/>
        <v>0</v>
      </c>
      <c r="X192" s="166">
        <f t="shared" si="23"/>
        <v>140946.31411783697</v>
      </c>
    </row>
    <row r="193" spans="4:24">
      <c r="D193" s="9" t="s">
        <v>1489</v>
      </c>
      <c r="E193" s="9" t="s">
        <v>2768</v>
      </c>
      <c r="F193" s="4" t="s">
        <v>805</v>
      </c>
      <c r="G193" s="9" t="s">
        <v>3432</v>
      </c>
      <c r="H193" s="164">
        <v>601927.93910527404</v>
      </c>
      <c r="I193" s="165">
        <v>14898.586975793818</v>
      </c>
      <c r="J193" s="165">
        <v>298805.52981514396</v>
      </c>
      <c r="K193" s="165">
        <v>43804.734646264311</v>
      </c>
      <c r="L193" s="177">
        <f t="shared" si="24"/>
        <v>900733.46892041806</v>
      </c>
      <c r="M193" s="166">
        <f t="shared" si="25"/>
        <v>58703.321622058131</v>
      </c>
      <c r="N193" s="189">
        <f>INDEX('CHIRP Payment Calc'!AM:AM,MATCH(F193,'CHIRP Payment Calc'!C:C,0))</f>
        <v>0.30000000000000004</v>
      </c>
      <c r="O193" s="189">
        <f>INDEX('CHIRP Payment Calc'!AL:AL,MATCH(FeeCalc!F193,'CHIRP Payment Calc'!C:C,0))</f>
        <v>0</v>
      </c>
      <c r="P193" s="164">
        <f t="shared" si="22"/>
        <v>270220.04067612544</v>
      </c>
      <c r="Q193" s="165">
        <f t="shared" si="26"/>
        <v>11016.71824887637</v>
      </c>
      <c r="R193" s="165">
        <f t="shared" si="27"/>
        <v>5721.808017736801</v>
      </c>
      <c r="S193" s="165">
        <f t="shared" si="28"/>
        <v>16738.526266613171</v>
      </c>
      <c r="T193" s="165">
        <f t="shared" si="29"/>
        <v>191595.09998045862</v>
      </c>
      <c r="U193" s="165">
        <f t="shared" si="30"/>
        <v>95363.466962280014</v>
      </c>
      <c r="V193" s="165">
        <f t="shared" si="31"/>
        <v>0</v>
      </c>
      <c r="W193" s="165">
        <f t="shared" si="32"/>
        <v>0</v>
      </c>
      <c r="X193" s="166">
        <f t="shared" si="23"/>
        <v>95363.466962280014</v>
      </c>
    </row>
    <row r="194" spans="4:24">
      <c r="D194" s="9" t="s">
        <v>1489</v>
      </c>
      <c r="E194" s="9" t="s">
        <v>2768</v>
      </c>
      <c r="F194" s="4" t="s">
        <v>1184</v>
      </c>
      <c r="G194" s="9" t="s">
        <v>1579</v>
      </c>
      <c r="H194" s="164">
        <v>594342.81469903595</v>
      </c>
      <c r="I194" s="165">
        <v>78721.993620610956</v>
      </c>
      <c r="J194" s="165">
        <v>186596.27270759182</v>
      </c>
      <c r="K194" s="165">
        <v>282095.61713685095</v>
      </c>
      <c r="L194" s="177">
        <f t="shared" si="24"/>
        <v>780939.08740662783</v>
      </c>
      <c r="M194" s="166">
        <f t="shared" si="25"/>
        <v>360817.61075746192</v>
      </c>
      <c r="N194" s="189">
        <f>INDEX('CHIRP Payment Calc'!AM:AM,MATCH(F194,'CHIRP Payment Calc'!C:C,0))</f>
        <v>0.78</v>
      </c>
      <c r="O194" s="189">
        <f>INDEX('CHIRP Payment Calc'!AL:AL,MATCH(FeeCalc!F194,'CHIRP Payment Calc'!C:C,0))</f>
        <v>0</v>
      </c>
      <c r="P194" s="164">
        <f t="shared" si="22"/>
        <v>609132.4881771697</v>
      </c>
      <c r="Q194" s="165">
        <f t="shared" si="26"/>
        <v>28282.520147747226</v>
      </c>
      <c r="R194" s="165">
        <f t="shared" si="27"/>
        <v>9290.1123007609567</v>
      </c>
      <c r="S194" s="165">
        <f t="shared" si="28"/>
        <v>37572.632448508186</v>
      </c>
      <c r="T194" s="165">
        <f t="shared" si="29"/>
        <v>491869.91561299522</v>
      </c>
      <c r="U194" s="165">
        <f t="shared" si="30"/>
        <v>154835.20501268259</v>
      </c>
      <c r="V194" s="165">
        <f t="shared" si="31"/>
        <v>0</v>
      </c>
      <c r="W194" s="165">
        <f t="shared" si="32"/>
        <v>0</v>
      </c>
      <c r="X194" s="166">
        <f t="shared" si="23"/>
        <v>154835.20501268259</v>
      </c>
    </row>
    <row r="195" spans="4:24">
      <c r="D195" s="9" t="s">
        <v>1489</v>
      </c>
      <c r="E195" s="9" t="s">
        <v>2768</v>
      </c>
      <c r="F195" s="4" t="s">
        <v>1108</v>
      </c>
      <c r="G195" s="9" t="s">
        <v>3463</v>
      </c>
      <c r="H195" s="164">
        <v>1528919.0355634163</v>
      </c>
      <c r="I195" s="165">
        <v>2123820.4487362802</v>
      </c>
      <c r="J195" s="165">
        <v>422043.55734137638</v>
      </c>
      <c r="K195" s="165">
        <v>553609.48881098838</v>
      </c>
      <c r="L195" s="177">
        <f t="shared" si="24"/>
        <v>1950962.5929047926</v>
      </c>
      <c r="M195" s="166">
        <f t="shared" si="25"/>
        <v>2677429.9375472683</v>
      </c>
      <c r="N195" s="189">
        <f>INDEX('CHIRP Payment Calc'!AM:AM,MATCH(F195,'CHIRP Payment Calc'!C:C,0))</f>
        <v>0.81</v>
      </c>
      <c r="O195" s="189">
        <f>INDEX('CHIRP Payment Calc'!AL:AL,MATCH(FeeCalc!F195,'CHIRP Payment Calc'!C:C,0))</f>
        <v>0</v>
      </c>
      <c r="P195" s="164">
        <f t="shared" ref="P195:P255" si="33">(L195*N195)+(M195*O195)</f>
        <v>1580279.7002528822</v>
      </c>
      <c r="Q195" s="165">
        <f t="shared" si="26"/>
        <v>75553.744383412326</v>
      </c>
      <c r="R195" s="165">
        <f t="shared" si="27"/>
        <v>21820.549879564784</v>
      </c>
      <c r="S195" s="165">
        <f t="shared" si="28"/>
        <v>97374.294262977113</v>
      </c>
      <c r="T195" s="165">
        <f t="shared" si="29"/>
        <v>1313978.1631897795</v>
      </c>
      <c r="U195" s="165">
        <f t="shared" si="30"/>
        <v>363675.83132607967</v>
      </c>
      <c r="V195" s="165">
        <f t="shared" si="31"/>
        <v>0</v>
      </c>
      <c r="W195" s="165">
        <f t="shared" si="32"/>
        <v>0</v>
      </c>
      <c r="X195" s="166">
        <f t="shared" ref="X195:X255" si="34">U195+W195</f>
        <v>363675.83132607967</v>
      </c>
    </row>
    <row r="196" spans="4:24">
      <c r="D196" s="9" t="s">
        <v>1489</v>
      </c>
      <c r="E196" s="9" t="s">
        <v>2768</v>
      </c>
      <c r="F196" s="4" t="s">
        <v>1488</v>
      </c>
      <c r="G196" s="9" t="s">
        <v>3416</v>
      </c>
      <c r="H196" s="164">
        <v>850967.59874282975</v>
      </c>
      <c r="I196" s="165">
        <v>1140340.1660156648</v>
      </c>
      <c r="J196" s="165">
        <v>347267.58588002861</v>
      </c>
      <c r="K196" s="165">
        <v>544035.3841315076</v>
      </c>
      <c r="L196" s="177">
        <f t="shared" ref="L196:L256" si="35">H196+J196</f>
        <v>1198235.1846228584</v>
      </c>
      <c r="M196" s="166">
        <f t="shared" ref="M196:M256" si="36">I196+K196</f>
        <v>1684375.5501471725</v>
      </c>
      <c r="N196" s="189">
        <f>INDEX('CHIRP Payment Calc'!AM:AM,MATCH(F196,'CHIRP Payment Calc'!C:C,0))</f>
        <v>0.54</v>
      </c>
      <c r="O196" s="189">
        <f>INDEX('CHIRP Payment Calc'!AL:AL,MATCH(FeeCalc!F196,'CHIRP Payment Calc'!C:C,0))</f>
        <v>0</v>
      </c>
      <c r="P196" s="164">
        <f t="shared" si="33"/>
        <v>647046.99969634356</v>
      </c>
      <c r="Q196" s="165">
        <f t="shared" ref="Q196:Q256" si="37">(T196+V196)*$B$10</f>
        <v>28034.529380334079</v>
      </c>
      <c r="R196" s="165">
        <f t="shared" ref="R196:R256" si="38">(U196+W196)*$B$11</f>
        <v>11969.648704800989</v>
      </c>
      <c r="S196" s="165">
        <f t="shared" ref="S196:S256" si="39">(T196+V196)*$B$10+(U196+W196)*$B$11</f>
        <v>40004.17808513507</v>
      </c>
      <c r="T196" s="165">
        <f t="shared" ref="T196:T256" si="40">H196/(1-$B$10)*N196</f>
        <v>487557.03270146222</v>
      </c>
      <c r="U196" s="165">
        <f t="shared" ref="U196:U256" si="41">J196/(1-$B$11)*N196</f>
        <v>199494.14508001646</v>
      </c>
      <c r="V196" s="165">
        <f t="shared" ref="V196:V256" si="42">I196/(1-$B$10)*O196</f>
        <v>0</v>
      </c>
      <c r="W196" s="165">
        <f t="shared" ref="W196:W256" si="43">K196/(1-$B$11)*O196</f>
        <v>0</v>
      </c>
      <c r="X196" s="166">
        <f t="shared" si="34"/>
        <v>199494.14508001646</v>
      </c>
    </row>
    <row r="197" spans="4:24">
      <c r="D197" s="9" t="s">
        <v>1489</v>
      </c>
      <c r="E197" s="9" t="s">
        <v>2768</v>
      </c>
      <c r="F197" s="4" t="s">
        <v>796</v>
      </c>
      <c r="G197" s="9" t="s">
        <v>3584</v>
      </c>
      <c r="H197" s="164">
        <v>280261.67579650728</v>
      </c>
      <c r="I197" s="165">
        <v>28593.708401718188</v>
      </c>
      <c r="J197" s="165">
        <v>105797.81691165981</v>
      </c>
      <c r="K197" s="165">
        <v>1640.5769744328554</v>
      </c>
      <c r="L197" s="177">
        <f t="shared" si="35"/>
        <v>386059.49270816706</v>
      </c>
      <c r="M197" s="166">
        <f t="shared" si="36"/>
        <v>30234.285376151041</v>
      </c>
      <c r="N197" s="189">
        <f>INDEX('CHIRP Payment Calc'!AM:AM,MATCH(F197,'CHIRP Payment Calc'!C:C,0))</f>
        <v>0.17</v>
      </c>
      <c r="O197" s="189">
        <f>INDEX('CHIRP Payment Calc'!AL:AL,MATCH(FeeCalc!F197,'CHIRP Payment Calc'!C:C,0))</f>
        <v>0</v>
      </c>
      <c r="P197" s="164">
        <f t="shared" si="33"/>
        <v>65630.113760388398</v>
      </c>
      <c r="Q197" s="165">
        <f t="shared" si="37"/>
        <v>2906.6927118417602</v>
      </c>
      <c r="R197" s="165">
        <f t="shared" si="38"/>
        <v>1148.0188643605641</v>
      </c>
      <c r="S197" s="165">
        <f t="shared" si="39"/>
        <v>4054.7115762023241</v>
      </c>
      <c r="T197" s="165">
        <f t="shared" si="40"/>
        <v>50551.177597248003</v>
      </c>
      <c r="U197" s="165">
        <f t="shared" si="41"/>
        <v>19133.647739342734</v>
      </c>
      <c r="V197" s="165">
        <f t="shared" si="42"/>
        <v>0</v>
      </c>
      <c r="W197" s="165">
        <f t="shared" si="43"/>
        <v>0</v>
      </c>
      <c r="X197" s="166">
        <f t="shared" si="34"/>
        <v>19133.647739342734</v>
      </c>
    </row>
    <row r="198" spans="4:24">
      <c r="D198" s="9" t="s">
        <v>1489</v>
      </c>
      <c r="E198" s="9" t="s">
        <v>3389</v>
      </c>
      <c r="F198" s="4" t="s">
        <v>2797</v>
      </c>
      <c r="G198" s="9" t="s">
        <v>3363</v>
      </c>
      <c r="H198" s="164">
        <v>0</v>
      </c>
      <c r="I198" s="165">
        <v>0</v>
      </c>
      <c r="J198" s="165">
        <v>0</v>
      </c>
      <c r="K198" s="165">
        <v>0</v>
      </c>
      <c r="L198" s="177">
        <f t="shared" si="35"/>
        <v>0</v>
      </c>
      <c r="M198" s="166">
        <f t="shared" si="36"/>
        <v>0</v>
      </c>
      <c r="N198" s="189">
        <f>INDEX('CHIRP Payment Calc'!AM:AM,MATCH(F198,'CHIRP Payment Calc'!C:C,0))</f>
        <v>0</v>
      </c>
      <c r="O198" s="189">
        <f>INDEX('CHIRP Payment Calc'!AL:AL,MATCH(FeeCalc!F198,'CHIRP Payment Calc'!C:C,0))</f>
        <v>0</v>
      </c>
      <c r="P198" s="164">
        <f t="shared" si="33"/>
        <v>0</v>
      </c>
      <c r="Q198" s="165">
        <f t="shared" si="37"/>
        <v>0</v>
      </c>
      <c r="R198" s="165">
        <f t="shared" si="38"/>
        <v>0</v>
      </c>
      <c r="S198" s="165">
        <f t="shared" si="39"/>
        <v>0</v>
      </c>
      <c r="T198" s="165">
        <f t="shared" si="40"/>
        <v>0</v>
      </c>
      <c r="U198" s="165">
        <f t="shared" si="41"/>
        <v>0</v>
      </c>
      <c r="V198" s="165">
        <f t="shared" si="42"/>
        <v>0</v>
      </c>
      <c r="W198" s="165">
        <f t="shared" si="43"/>
        <v>0</v>
      </c>
      <c r="X198" s="166">
        <f t="shared" si="34"/>
        <v>0</v>
      </c>
    </row>
    <row r="199" spans="4:24">
      <c r="D199" s="9" t="s">
        <v>1489</v>
      </c>
      <c r="E199" s="9" t="s">
        <v>2718</v>
      </c>
      <c r="F199" s="4" t="s">
        <v>1494</v>
      </c>
      <c r="G199" s="9" t="s">
        <v>3088</v>
      </c>
      <c r="H199" s="164">
        <v>123.21149712126591</v>
      </c>
      <c r="I199" s="165">
        <v>0</v>
      </c>
      <c r="J199" s="165">
        <v>0</v>
      </c>
      <c r="K199" s="165">
        <v>0</v>
      </c>
      <c r="L199" s="177">
        <f t="shared" si="35"/>
        <v>123.21149712126591</v>
      </c>
      <c r="M199" s="166">
        <f t="shared" si="36"/>
        <v>0</v>
      </c>
      <c r="N199" s="189">
        <f>INDEX('CHIRP Payment Calc'!AM:AM,MATCH(F199,'CHIRP Payment Calc'!C:C,0))</f>
        <v>1.29</v>
      </c>
      <c r="O199" s="189">
        <f>INDEX('CHIRP Payment Calc'!AL:AL,MATCH(FeeCalc!F199,'CHIRP Payment Calc'!C:C,0))</f>
        <v>0.78</v>
      </c>
      <c r="P199" s="164">
        <f t="shared" si="33"/>
        <v>158.94283128643303</v>
      </c>
      <c r="Q199" s="165">
        <f t="shared" si="37"/>
        <v>9.6967775055383534</v>
      </c>
      <c r="R199" s="165">
        <f t="shared" si="38"/>
        <v>0</v>
      </c>
      <c r="S199" s="165">
        <f t="shared" si="39"/>
        <v>9.6967775055383534</v>
      </c>
      <c r="T199" s="165">
        <f t="shared" si="40"/>
        <v>168.63960879197137</v>
      </c>
      <c r="U199" s="165">
        <f t="shared" si="41"/>
        <v>0</v>
      </c>
      <c r="V199" s="165">
        <f t="shared" si="42"/>
        <v>0</v>
      </c>
      <c r="W199" s="165">
        <f t="shared" si="43"/>
        <v>0</v>
      </c>
      <c r="X199" s="166">
        <f t="shared" si="34"/>
        <v>0</v>
      </c>
    </row>
    <row r="200" spans="4:24">
      <c r="D200" s="9" t="s">
        <v>1489</v>
      </c>
      <c r="E200" s="9" t="s">
        <v>2718</v>
      </c>
      <c r="F200" s="4" t="s">
        <v>984</v>
      </c>
      <c r="G200" s="9" t="s">
        <v>2985</v>
      </c>
      <c r="H200" s="164">
        <v>2634653.9403569335</v>
      </c>
      <c r="I200" s="165">
        <v>3861171.9899424328</v>
      </c>
      <c r="J200" s="165">
        <v>1328664.4576705422</v>
      </c>
      <c r="K200" s="165">
        <v>3813627.4883687953</v>
      </c>
      <c r="L200" s="177">
        <f t="shared" si="35"/>
        <v>3963318.3980274759</v>
      </c>
      <c r="M200" s="166">
        <f t="shared" si="36"/>
        <v>7674799.4783112276</v>
      </c>
      <c r="N200" s="189">
        <f>INDEX('CHIRP Payment Calc'!AM:AM,MATCH(F200,'CHIRP Payment Calc'!C:C,0))</f>
        <v>1.3</v>
      </c>
      <c r="O200" s="189">
        <f>INDEX('CHIRP Payment Calc'!AL:AL,MATCH(FeeCalc!F200,'CHIRP Payment Calc'!C:C,0))</f>
        <v>1.07</v>
      </c>
      <c r="P200" s="164">
        <f t="shared" si="33"/>
        <v>13364349.359228734</v>
      </c>
      <c r="Q200" s="165">
        <f t="shared" si="37"/>
        <v>461006.88458661962</v>
      </c>
      <c r="R200" s="165">
        <f t="shared" si="38"/>
        <v>370713.52388465859</v>
      </c>
      <c r="S200" s="165">
        <f t="shared" si="39"/>
        <v>831720.40847127815</v>
      </c>
      <c r="T200" s="165">
        <f t="shared" si="40"/>
        <v>3634005.4349750807</v>
      </c>
      <c r="U200" s="165">
        <f t="shared" si="41"/>
        <v>1837514.6755018139</v>
      </c>
      <c r="V200" s="165">
        <f t="shared" si="42"/>
        <v>4383505.6013139561</v>
      </c>
      <c r="W200" s="165">
        <f t="shared" si="43"/>
        <v>4341044.0559091615</v>
      </c>
      <c r="X200" s="166">
        <f t="shared" si="34"/>
        <v>6178558.7314109756</v>
      </c>
    </row>
    <row r="201" spans="4:24">
      <c r="D201" s="9" t="s">
        <v>1489</v>
      </c>
      <c r="E201" s="9" t="s">
        <v>2718</v>
      </c>
      <c r="F201" s="4" t="s">
        <v>3392</v>
      </c>
      <c r="G201" s="9" t="s">
        <v>3356</v>
      </c>
      <c r="H201" s="164">
        <v>0</v>
      </c>
      <c r="I201" s="165">
        <v>0</v>
      </c>
      <c r="J201" s="165">
        <v>0</v>
      </c>
      <c r="K201" s="165">
        <v>0</v>
      </c>
      <c r="L201" s="177">
        <f t="shared" si="35"/>
        <v>0</v>
      </c>
      <c r="M201" s="166">
        <f t="shared" si="36"/>
        <v>0</v>
      </c>
      <c r="N201" s="189">
        <f>INDEX('CHIRP Payment Calc'!AM:AM,MATCH(F201,'CHIRP Payment Calc'!C:C,0))</f>
        <v>1.29</v>
      </c>
      <c r="O201" s="189">
        <f>INDEX('CHIRP Payment Calc'!AL:AL,MATCH(FeeCalc!F201,'CHIRP Payment Calc'!C:C,0))</f>
        <v>0.78</v>
      </c>
      <c r="P201" s="164">
        <f t="shared" si="33"/>
        <v>0</v>
      </c>
      <c r="Q201" s="165">
        <f t="shared" si="37"/>
        <v>0</v>
      </c>
      <c r="R201" s="165">
        <f t="shared" si="38"/>
        <v>0</v>
      </c>
      <c r="S201" s="165">
        <f t="shared" si="39"/>
        <v>0</v>
      </c>
      <c r="T201" s="165">
        <f t="shared" si="40"/>
        <v>0</v>
      </c>
      <c r="U201" s="165">
        <f t="shared" si="41"/>
        <v>0</v>
      </c>
      <c r="V201" s="165">
        <f t="shared" si="42"/>
        <v>0</v>
      </c>
      <c r="W201" s="165">
        <f t="shared" si="43"/>
        <v>0</v>
      </c>
      <c r="X201" s="166">
        <f t="shared" si="34"/>
        <v>0</v>
      </c>
    </row>
    <row r="202" spans="4:24">
      <c r="D202" s="9" t="s">
        <v>1489</v>
      </c>
      <c r="E202" s="9" t="s">
        <v>2718</v>
      </c>
      <c r="F202" s="4" t="s">
        <v>1002</v>
      </c>
      <c r="G202" s="9" t="s">
        <v>3488</v>
      </c>
      <c r="H202" s="164">
        <v>4590609.669224767</v>
      </c>
      <c r="I202" s="165">
        <v>2924275.3154218504</v>
      </c>
      <c r="J202" s="165">
        <v>1039779.2330082895</v>
      </c>
      <c r="K202" s="165">
        <v>1030055.3153144189</v>
      </c>
      <c r="L202" s="177">
        <f t="shared" si="35"/>
        <v>5630388.9022330567</v>
      </c>
      <c r="M202" s="166">
        <f t="shared" si="36"/>
        <v>3954330.6307362691</v>
      </c>
      <c r="N202" s="189">
        <f>INDEX('CHIRP Payment Calc'!AM:AM,MATCH(F202,'CHIRP Payment Calc'!C:C,0))</f>
        <v>1.29</v>
      </c>
      <c r="O202" s="189">
        <f>INDEX('CHIRP Payment Calc'!AL:AL,MATCH(FeeCalc!F202,'CHIRP Payment Calc'!C:C,0))</f>
        <v>1.84</v>
      </c>
      <c r="P202" s="164">
        <f t="shared" si="33"/>
        <v>14539170.044435378</v>
      </c>
      <c r="Q202" s="165">
        <f t="shared" si="37"/>
        <v>689545.67701472575</v>
      </c>
      <c r="R202" s="165">
        <f t="shared" si="38"/>
        <v>206592.5738782484</v>
      </c>
      <c r="S202" s="165">
        <f t="shared" si="39"/>
        <v>896138.2508929742</v>
      </c>
      <c r="T202" s="165">
        <f t="shared" si="40"/>
        <v>6283168.6719362866</v>
      </c>
      <c r="U202" s="165">
        <f t="shared" si="41"/>
        <v>1426931.0750858441</v>
      </c>
      <c r="V202" s="165">
        <f t="shared" si="42"/>
        <v>5708930.0587545941</v>
      </c>
      <c r="W202" s="165">
        <f t="shared" si="43"/>
        <v>2016278.4895516287</v>
      </c>
      <c r="X202" s="166">
        <f t="shared" si="34"/>
        <v>3443209.5646374729</v>
      </c>
    </row>
    <row r="203" spans="4:24">
      <c r="D203" s="9" t="s">
        <v>1489</v>
      </c>
      <c r="E203" s="9" t="s">
        <v>2718</v>
      </c>
      <c r="F203" s="4" t="s">
        <v>1011</v>
      </c>
      <c r="G203" s="9" t="s">
        <v>3491</v>
      </c>
      <c r="H203" s="164">
        <v>24472070.578103159</v>
      </c>
      <c r="I203" s="165">
        <v>26040562.767003417</v>
      </c>
      <c r="J203" s="165">
        <v>9067210.3715826422</v>
      </c>
      <c r="K203" s="165">
        <v>12596402.225587716</v>
      </c>
      <c r="L203" s="177">
        <f t="shared" si="35"/>
        <v>33539280.949685801</v>
      </c>
      <c r="M203" s="166">
        <f t="shared" si="36"/>
        <v>38636964.992591135</v>
      </c>
      <c r="N203" s="189">
        <f>INDEX('CHIRP Payment Calc'!AM:AM,MATCH(F203,'CHIRP Payment Calc'!C:C,0))</f>
        <v>1.29</v>
      </c>
      <c r="O203" s="189">
        <f>INDEX('CHIRP Payment Calc'!AL:AL,MATCH(FeeCalc!F203,'CHIRP Payment Calc'!C:C,0))</f>
        <v>1.37</v>
      </c>
      <c r="P203" s="164">
        <f t="shared" si="33"/>
        <v>96198314.464944541</v>
      </c>
      <c r="Q203" s="165">
        <f t="shared" si="37"/>
        <v>4102452.1666859374</v>
      </c>
      <c r="R203" s="165">
        <f t="shared" si="38"/>
        <v>1848113.1337274543</v>
      </c>
      <c r="S203" s="165">
        <f t="shared" si="39"/>
        <v>5950565.3004133916</v>
      </c>
      <c r="T203" s="165">
        <f t="shared" si="40"/>
        <v>33494929.491515197</v>
      </c>
      <c r="U203" s="165">
        <f t="shared" si="41"/>
        <v>12443299.339725116</v>
      </c>
      <c r="V203" s="165">
        <f t="shared" si="42"/>
        <v>37852064.7117185</v>
      </c>
      <c r="W203" s="165">
        <f t="shared" si="43"/>
        <v>18358586.222399123</v>
      </c>
      <c r="X203" s="166">
        <f t="shared" si="34"/>
        <v>30801885.562124237</v>
      </c>
    </row>
    <row r="204" spans="4:24">
      <c r="D204" s="9" t="s">
        <v>1489</v>
      </c>
      <c r="E204" s="9" t="s">
        <v>2718</v>
      </c>
      <c r="F204" s="4" t="s">
        <v>887</v>
      </c>
      <c r="G204" s="9" t="s">
        <v>3381</v>
      </c>
      <c r="H204" s="164">
        <v>2792015.8764629643</v>
      </c>
      <c r="I204" s="165">
        <v>3029763.7604162055</v>
      </c>
      <c r="J204" s="165">
        <v>762329.29343150253</v>
      </c>
      <c r="K204" s="165">
        <v>1449266.2658231098</v>
      </c>
      <c r="L204" s="177">
        <f t="shared" si="35"/>
        <v>3554345.1698944671</v>
      </c>
      <c r="M204" s="166">
        <f t="shared" si="36"/>
        <v>4479030.026239315</v>
      </c>
      <c r="N204" s="189">
        <f>INDEX('CHIRP Payment Calc'!AM:AM,MATCH(F204,'CHIRP Payment Calc'!C:C,0))</f>
        <v>1.31</v>
      </c>
      <c r="O204" s="189">
        <f>INDEX('CHIRP Payment Calc'!AL:AL,MATCH(FeeCalc!F204,'CHIRP Payment Calc'!C:C,0))</f>
        <v>1.6</v>
      </c>
      <c r="P204" s="164">
        <f t="shared" si="33"/>
        <v>11822640.214544656</v>
      </c>
      <c r="Q204" s="165">
        <f t="shared" si="37"/>
        <v>518882.61204547877</v>
      </c>
      <c r="R204" s="165">
        <f t="shared" si="38"/>
        <v>211753.87657737729</v>
      </c>
      <c r="S204" s="165">
        <f t="shared" si="39"/>
        <v>730636.48862285609</v>
      </c>
      <c r="T204" s="165">
        <f t="shared" si="40"/>
        <v>3880679.8919538283</v>
      </c>
      <c r="U204" s="165">
        <f t="shared" si="41"/>
        <v>1062395.0791439025</v>
      </c>
      <c r="V204" s="165">
        <f t="shared" si="42"/>
        <v>5143365.5349240629</v>
      </c>
      <c r="W204" s="165">
        <f t="shared" si="43"/>
        <v>2466836.1971457191</v>
      </c>
      <c r="X204" s="166">
        <f t="shared" si="34"/>
        <v>3529231.2762896214</v>
      </c>
    </row>
    <row r="205" spans="4:24">
      <c r="D205" s="9" t="s">
        <v>1489</v>
      </c>
      <c r="E205" s="9" t="s">
        <v>2718</v>
      </c>
      <c r="F205" s="4" t="s">
        <v>3155</v>
      </c>
      <c r="G205" s="9" t="s">
        <v>3478</v>
      </c>
      <c r="H205" s="164">
        <v>0</v>
      </c>
      <c r="I205" s="165">
        <v>9705.8048930843506</v>
      </c>
      <c r="J205" s="165">
        <v>0</v>
      </c>
      <c r="K205" s="165">
        <v>29549.161256678584</v>
      </c>
      <c r="L205" s="177">
        <f t="shared" si="35"/>
        <v>0</v>
      </c>
      <c r="M205" s="166">
        <f t="shared" si="36"/>
        <v>39254.966149762935</v>
      </c>
      <c r="N205" s="189">
        <f>INDEX('CHIRP Payment Calc'!AM:AM,MATCH(F205,'CHIRP Payment Calc'!C:C,0))</f>
        <v>1.29</v>
      </c>
      <c r="O205" s="189">
        <f>INDEX('CHIRP Payment Calc'!AL:AL,MATCH(FeeCalc!F205,'CHIRP Payment Calc'!C:C,0))</f>
        <v>0.78</v>
      </c>
      <c r="P205" s="164">
        <f t="shared" si="33"/>
        <v>30618.87359681509</v>
      </c>
      <c r="Q205" s="165">
        <f t="shared" si="37"/>
        <v>461.86243973987604</v>
      </c>
      <c r="R205" s="165">
        <f t="shared" si="38"/>
        <v>1471.171007247402</v>
      </c>
      <c r="S205" s="165">
        <f t="shared" si="39"/>
        <v>1933.033446987278</v>
      </c>
      <c r="T205" s="165">
        <f t="shared" si="40"/>
        <v>0</v>
      </c>
      <c r="U205" s="165">
        <f t="shared" si="41"/>
        <v>0</v>
      </c>
      <c r="V205" s="165">
        <f t="shared" si="42"/>
        <v>8032.3902563456695</v>
      </c>
      <c r="W205" s="165">
        <f t="shared" si="43"/>
        <v>24519.516787456698</v>
      </c>
      <c r="X205" s="166">
        <f t="shared" si="34"/>
        <v>24519.516787456698</v>
      </c>
    </row>
    <row r="206" spans="4:24">
      <c r="D206" s="9" t="s">
        <v>1489</v>
      </c>
      <c r="E206" s="9" t="s">
        <v>2718</v>
      </c>
      <c r="F206" s="4" t="s">
        <v>751</v>
      </c>
      <c r="G206" s="9" t="s">
        <v>3509</v>
      </c>
      <c r="H206" s="164">
        <v>3005014.0363556137</v>
      </c>
      <c r="I206" s="165">
        <v>1682719.0864414766</v>
      </c>
      <c r="J206" s="165">
        <v>779431.49056277785</v>
      </c>
      <c r="K206" s="165">
        <v>942218.40134958271</v>
      </c>
      <c r="L206" s="177">
        <f t="shared" si="35"/>
        <v>3784445.5269183917</v>
      </c>
      <c r="M206" s="166">
        <f t="shared" si="36"/>
        <v>2624937.4877910595</v>
      </c>
      <c r="N206" s="189">
        <f>INDEX('CHIRP Payment Calc'!AM:AM,MATCH(F206,'CHIRP Payment Calc'!C:C,0))</f>
        <v>1.33</v>
      </c>
      <c r="O206" s="189">
        <f>INDEX('CHIRP Payment Calc'!AL:AL,MATCH(FeeCalc!F206,'CHIRP Payment Calc'!C:C,0))</f>
        <v>1.75</v>
      </c>
      <c r="P206" s="164">
        <f t="shared" si="33"/>
        <v>9626953.1544358153</v>
      </c>
      <c r="Q206" s="165">
        <f t="shared" si="37"/>
        <v>423482.28806734132</v>
      </c>
      <c r="R206" s="165">
        <f t="shared" si="38"/>
        <v>171416.55860491053</v>
      </c>
      <c r="S206" s="165">
        <f t="shared" si="39"/>
        <v>594898.84667225182</v>
      </c>
      <c r="T206" s="165">
        <f t="shared" si="40"/>
        <v>4240497.2608519541</v>
      </c>
      <c r="U206" s="165">
        <f t="shared" si="41"/>
        <v>1102812.640902654</v>
      </c>
      <c r="V206" s="165">
        <f t="shared" si="42"/>
        <v>3124412.0968409381</v>
      </c>
      <c r="W206" s="165">
        <f t="shared" si="43"/>
        <v>1754130.0025125211</v>
      </c>
      <c r="X206" s="166">
        <f t="shared" si="34"/>
        <v>2856942.6434151754</v>
      </c>
    </row>
    <row r="207" spans="4:24">
      <c r="D207" s="9" t="s">
        <v>1489</v>
      </c>
      <c r="E207" s="9" t="s">
        <v>2718</v>
      </c>
      <c r="F207" s="4" t="s">
        <v>757</v>
      </c>
      <c r="G207" s="9" t="s">
        <v>3490</v>
      </c>
      <c r="H207" s="164">
        <v>4259111.436568561</v>
      </c>
      <c r="I207" s="165">
        <v>8551606.622067038</v>
      </c>
      <c r="J207" s="165">
        <v>2328722.0906102196</v>
      </c>
      <c r="K207" s="165">
        <v>3746655.2770145088</v>
      </c>
      <c r="L207" s="177">
        <f t="shared" si="35"/>
        <v>6587833.5271787811</v>
      </c>
      <c r="M207" s="166">
        <f t="shared" si="36"/>
        <v>12298261.899081547</v>
      </c>
      <c r="N207" s="189">
        <f>INDEX('CHIRP Payment Calc'!AM:AM,MATCH(F207,'CHIRP Payment Calc'!C:C,0))</f>
        <v>1.31</v>
      </c>
      <c r="O207" s="189">
        <f>INDEX('CHIRP Payment Calc'!AL:AL,MATCH(FeeCalc!F207,'CHIRP Payment Calc'!C:C,0))</f>
        <v>1.34</v>
      </c>
      <c r="P207" s="164">
        <f t="shared" si="33"/>
        <v>25109732.865373477</v>
      </c>
      <c r="Q207" s="165">
        <f t="shared" si="37"/>
        <v>1039489.5057716629</v>
      </c>
      <c r="R207" s="165">
        <f t="shared" si="38"/>
        <v>515179.40488715947</v>
      </c>
      <c r="S207" s="165">
        <f t="shared" si="39"/>
        <v>1554668.9106588224</v>
      </c>
      <c r="T207" s="165">
        <f t="shared" si="40"/>
        <v>5919825.9754958255</v>
      </c>
      <c r="U207" s="165">
        <f t="shared" si="41"/>
        <v>3245346.7432972216</v>
      </c>
      <c r="V207" s="165">
        <f t="shared" si="42"/>
        <v>12158252.385750486</v>
      </c>
      <c r="W207" s="165">
        <f t="shared" si="43"/>
        <v>5340976.6714887684</v>
      </c>
      <c r="X207" s="166">
        <f t="shared" si="34"/>
        <v>8586323.4147859905</v>
      </c>
    </row>
    <row r="208" spans="4:24">
      <c r="D208" s="9" t="s">
        <v>1489</v>
      </c>
      <c r="E208" s="9" t="s">
        <v>2718</v>
      </c>
      <c r="F208" s="4" t="s">
        <v>1515</v>
      </c>
      <c r="G208" s="9" t="s">
        <v>3449</v>
      </c>
      <c r="H208" s="164">
        <v>0</v>
      </c>
      <c r="I208" s="165">
        <v>139793.98814858444</v>
      </c>
      <c r="J208" s="165">
        <v>0</v>
      </c>
      <c r="K208" s="165">
        <v>370940.1769332884</v>
      </c>
      <c r="L208" s="177">
        <f t="shared" si="35"/>
        <v>0</v>
      </c>
      <c r="M208" s="166">
        <f t="shared" si="36"/>
        <v>510734.16508187284</v>
      </c>
      <c r="N208" s="189">
        <f>INDEX('CHIRP Payment Calc'!AM:AM,MATCH(F208,'CHIRP Payment Calc'!C:C,0))</f>
        <v>1.29</v>
      </c>
      <c r="O208" s="189">
        <f>INDEX('CHIRP Payment Calc'!AL:AL,MATCH(FeeCalc!F208,'CHIRP Payment Calc'!C:C,0))</f>
        <v>0.78</v>
      </c>
      <c r="P208" s="164">
        <f t="shared" si="33"/>
        <v>398372.64876386081</v>
      </c>
      <c r="Q208" s="165">
        <f t="shared" si="37"/>
        <v>6652.2656429326389</v>
      </c>
      <c r="R208" s="165">
        <f t="shared" si="38"/>
        <v>18468.085404763722</v>
      </c>
      <c r="S208" s="165">
        <f t="shared" si="39"/>
        <v>25120.35104769636</v>
      </c>
      <c r="T208" s="165">
        <f t="shared" si="40"/>
        <v>0</v>
      </c>
      <c r="U208" s="165">
        <f t="shared" si="41"/>
        <v>0</v>
      </c>
      <c r="V208" s="165">
        <f t="shared" si="42"/>
        <v>115691.5763988285</v>
      </c>
      <c r="W208" s="165">
        <f t="shared" si="43"/>
        <v>307801.42341272871</v>
      </c>
      <c r="X208" s="166">
        <f t="shared" si="34"/>
        <v>307801.42341272871</v>
      </c>
    </row>
    <row r="209" spans="4:24">
      <c r="D209" s="9" t="s">
        <v>1489</v>
      </c>
      <c r="E209" s="9" t="s">
        <v>2718</v>
      </c>
      <c r="F209" s="4" t="s">
        <v>996</v>
      </c>
      <c r="G209" s="9" t="s">
        <v>3524</v>
      </c>
      <c r="H209" s="164">
        <v>3626577.0370017388</v>
      </c>
      <c r="I209" s="165">
        <v>4926047.928159819</v>
      </c>
      <c r="J209" s="165">
        <v>1906769.5488231806</v>
      </c>
      <c r="K209" s="165">
        <v>4284986.1749336757</v>
      </c>
      <c r="L209" s="177">
        <f t="shared" si="35"/>
        <v>5533346.5858249199</v>
      </c>
      <c r="M209" s="166">
        <f t="shared" si="36"/>
        <v>9211034.1030934937</v>
      </c>
      <c r="N209" s="189">
        <f>INDEX('CHIRP Payment Calc'!AM:AM,MATCH(F209,'CHIRP Payment Calc'!C:C,0))</f>
        <v>1.29</v>
      </c>
      <c r="O209" s="189">
        <f>INDEX('CHIRP Payment Calc'!AL:AL,MATCH(FeeCalc!F209,'CHIRP Payment Calc'!C:C,0))</f>
        <v>1.19</v>
      </c>
      <c r="P209" s="164">
        <f t="shared" si="33"/>
        <v>18099147.678395405</v>
      </c>
      <c r="Q209" s="165">
        <f t="shared" si="37"/>
        <v>643041.04106518789</v>
      </c>
      <c r="R209" s="165">
        <f t="shared" si="38"/>
        <v>482480.82549912634</v>
      </c>
      <c r="S209" s="165">
        <f t="shared" si="39"/>
        <v>1125521.8665643143</v>
      </c>
      <c r="T209" s="165">
        <f t="shared" si="40"/>
        <v>4963696.9525010539</v>
      </c>
      <c r="U209" s="165">
        <f t="shared" si="41"/>
        <v>2616736.9340233016</v>
      </c>
      <c r="V209" s="165">
        <f t="shared" si="42"/>
        <v>6219625.5008065617</v>
      </c>
      <c r="W209" s="165">
        <f t="shared" si="43"/>
        <v>5424610.1576288026</v>
      </c>
      <c r="X209" s="166">
        <f t="shared" si="34"/>
        <v>8041347.0916521046</v>
      </c>
    </row>
    <row r="210" spans="4:24">
      <c r="D210" s="9" t="s">
        <v>310</v>
      </c>
      <c r="E210" s="9" t="s">
        <v>2768</v>
      </c>
      <c r="F210" s="4" t="s">
        <v>597</v>
      </c>
      <c r="G210" s="9" t="s">
        <v>598</v>
      </c>
      <c r="H210" s="164">
        <v>2424780.8459318751</v>
      </c>
      <c r="I210" s="165">
        <v>2495826.0724852178</v>
      </c>
      <c r="J210" s="165">
        <v>1460284.125752649</v>
      </c>
      <c r="K210" s="165">
        <v>1341803.373452177</v>
      </c>
      <c r="L210" s="177">
        <f t="shared" si="35"/>
        <v>3885064.9716845239</v>
      </c>
      <c r="M210" s="166">
        <f t="shared" si="36"/>
        <v>3837629.4459373951</v>
      </c>
      <c r="N210" s="189">
        <f>INDEX('CHIRP Payment Calc'!AM:AM,MATCH(F210,'CHIRP Payment Calc'!C:C,0))</f>
        <v>0.76</v>
      </c>
      <c r="O210" s="189">
        <f>INDEX('CHIRP Payment Calc'!AL:AL,MATCH(FeeCalc!F210,'CHIRP Payment Calc'!C:C,0))</f>
        <v>0.16</v>
      </c>
      <c r="P210" s="164">
        <f t="shared" si="33"/>
        <v>3566670.0898302216</v>
      </c>
      <c r="Q210" s="165">
        <f t="shared" si="37"/>
        <v>136789.94465155114</v>
      </c>
      <c r="R210" s="165">
        <f t="shared" si="38"/>
        <v>84542.838850491171</v>
      </c>
      <c r="S210" s="165">
        <f t="shared" si="39"/>
        <v>221332.78350204229</v>
      </c>
      <c r="T210" s="165">
        <f t="shared" si="40"/>
        <v>1955260.9473827321</v>
      </c>
      <c r="U210" s="165">
        <f t="shared" si="41"/>
        <v>1180655.2506085248</v>
      </c>
      <c r="V210" s="165">
        <f t="shared" si="42"/>
        <v>423694.61177467892</v>
      </c>
      <c r="W210" s="165">
        <f t="shared" si="43"/>
        <v>228392.06356632803</v>
      </c>
      <c r="X210" s="166">
        <f t="shared" si="34"/>
        <v>1409047.3141748528</v>
      </c>
    </row>
    <row r="211" spans="4:24">
      <c r="D211" s="9" t="s">
        <v>310</v>
      </c>
      <c r="E211" s="9" t="s">
        <v>2768</v>
      </c>
      <c r="F211" s="4" t="s">
        <v>1338</v>
      </c>
      <c r="G211" s="9" t="s">
        <v>3364</v>
      </c>
      <c r="H211" s="164">
        <v>1566272.047156678</v>
      </c>
      <c r="I211" s="165">
        <v>2638520.4024173785</v>
      </c>
      <c r="J211" s="165">
        <v>724519.61789943767</v>
      </c>
      <c r="K211" s="165">
        <v>2216407.1882682922</v>
      </c>
      <c r="L211" s="177">
        <f t="shared" si="35"/>
        <v>2290791.6650561159</v>
      </c>
      <c r="M211" s="166">
        <f t="shared" si="36"/>
        <v>4854927.5906856712</v>
      </c>
      <c r="N211" s="189">
        <f>INDEX('CHIRP Payment Calc'!AM:AM,MATCH(F211,'CHIRP Payment Calc'!C:C,0))</f>
        <v>1.1399999999999999</v>
      </c>
      <c r="O211" s="189">
        <f>INDEX('CHIRP Payment Calc'!AL:AL,MATCH(FeeCalc!F211,'CHIRP Payment Calc'!C:C,0))</f>
        <v>0.25</v>
      </c>
      <c r="P211" s="164">
        <f t="shared" si="33"/>
        <v>3825234.3958353898</v>
      </c>
      <c r="Q211" s="165">
        <f t="shared" si="37"/>
        <v>149175.45196378787</v>
      </c>
      <c r="R211" s="165">
        <f t="shared" si="38"/>
        <v>88088.563498240343</v>
      </c>
      <c r="S211" s="165">
        <f t="shared" si="39"/>
        <v>237264.01546202821</v>
      </c>
      <c r="T211" s="165">
        <f t="shared" si="40"/>
        <v>1894482.9005396424</v>
      </c>
      <c r="U211" s="165">
        <f t="shared" si="41"/>
        <v>878672.72809080745</v>
      </c>
      <c r="V211" s="165">
        <f t="shared" si="42"/>
        <v>699872.785787103</v>
      </c>
      <c r="W211" s="165">
        <f t="shared" si="43"/>
        <v>589469.99687986495</v>
      </c>
      <c r="X211" s="166">
        <f t="shared" si="34"/>
        <v>1468142.7249706723</v>
      </c>
    </row>
    <row r="212" spans="4:24">
      <c r="D212" s="9" t="s">
        <v>310</v>
      </c>
      <c r="E212" s="9" t="s">
        <v>2768</v>
      </c>
      <c r="F212" s="4" t="s">
        <v>3590</v>
      </c>
      <c r="G212" s="9" t="s">
        <v>3541</v>
      </c>
      <c r="H212" s="164">
        <v>322491.01931558439</v>
      </c>
      <c r="I212" s="165">
        <v>392338.94092302409</v>
      </c>
      <c r="J212" s="165">
        <v>424994.17591003835</v>
      </c>
      <c r="K212" s="165">
        <v>1049473.8345186538</v>
      </c>
      <c r="L212" s="177">
        <f t="shared" si="35"/>
        <v>747485.19522562274</v>
      </c>
      <c r="M212" s="166">
        <f t="shared" si="36"/>
        <v>1441812.7754416778</v>
      </c>
      <c r="N212" s="189">
        <f>INDEX('CHIRP Payment Calc'!AM:AM,MATCH(F212,'CHIRP Payment Calc'!C:C,0))</f>
        <v>1.35</v>
      </c>
      <c r="O212" s="189">
        <f>INDEX('CHIRP Payment Calc'!AL:AL,MATCH(FeeCalc!F212,'CHIRP Payment Calc'!C:C,0))</f>
        <v>0.16</v>
      </c>
      <c r="P212" s="164">
        <f t="shared" si="33"/>
        <v>1239795.0576252593</v>
      </c>
      <c r="Q212" s="165">
        <f t="shared" si="37"/>
        <v>30390.32745980272</v>
      </c>
      <c r="R212" s="165">
        <f t="shared" si="38"/>
        <v>47339.869212864032</v>
      </c>
      <c r="S212" s="165">
        <f t="shared" si="39"/>
        <v>77730.19667266676</v>
      </c>
      <c r="T212" s="165">
        <f t="shared" si="40"/>
        <v>461923.47594274691</v>
      </c>
      <c r="U212" s="165">
        <f t="shared" si="41"/>
        <v>610363.97604101268</v>
      </c>
      <c r="V212" s="165">
        <f t="shared" si="42"/>
        <v>66603.958140778632</v>
      </c>
      <c r="W212" s="165">
        <f t="shared" si="43"/>
        <v>178633.84417338789</v>
      </c>
      <c r="X212" s="166">
        <f t="shared" si="34"/>
        <v>788997.82021440053</v>
      </c>
    </row>
    <row r="213" spans="4:24">
      <c r="D213" s="9" t="s">
        <v>310</v>
      </c>
      <c r="E213" s="9" t="s">
        <v>2768</v>
      </c>
      <c r="F213" s="4" t="s">
        <v>1480</v>
      </c>
      <c r="G213" s="9" t="s">
        <v>3566</v>
      </c>
      <c r="H213" s="164">
        <v>643755.42147371836</v>
      </c>
      <c r="I213" s="165">
        <v>12302.205023989261</v>
      </c>
      <c r="J213" s="165">
        <v>197667.15508125699</v>
      </c>
      <c r="K213" s="165">
        <v>56923.068909313559</v>
      </c>
      <c r="L213" s="177">
        <f t="shared" si="35"/>
        <v>841422.57655497536</v>
      </c>
      <c r="M213" s="166">
        <f t="shared" si="36"/>
        <v>69225.273933302815</v>
      </c>
      <c r="N213" s="189">
        <f>INDEX('CHIRP Payment Calc'!AM:AM,MATCH(F213,'CHIRP Payment Calc'!C:C,0))</f>
        <v>0.67999999999999994</v>
      </c>
      <c r="O213" s="189">
        <f>INDEX('CHIRP Payment Calc'!AL:AL,MATCH(FeeCalc!F213,'CHIRP Payment Calc'!C:C,0))</f>
        <v>0.17</v>
      </c>
      <c r="P213" s="164">
        <f t="shared" si="33"/>
        <v>583935.64862604463</v>
      </c>
      <c r="Q213" s="165">
        <f t="shared" si="37"/>
        <v>26834.04884215584</v>
      </c>
      <c r="R213" s="165">
        <f t="shared" si="38"/>
        <v>9197.271521479026</v>
      </c>
      <c r="S213" s="165">
        <f t="shared" si="39"/>
        <v>36031.320363634863</v>
      </c>
      <c r="T213" s="165">
        <f t="shared" si="40"/>
        <v>464460.14493594528</v>
      </c>
      <c r="U213" s="165">
        <f t="shared" si="41"/>
        <v>142993.26112261144</v>
      </c>
      <c r="V213" s="165">
        <f t="shared" si="42"/>
        <v>2218.9653624171615</v>
      </c>
      <c r="W213" s="165">
        <f t="shared" si="43"/>
        <v>10294.597568705645</v>
      </c>
      <c r="X213" s="166">
        <f t="shared" si="34"/>
        <v>153287.85869131709</v>
      </c>
    </row>
    <row r="214" spans="4:24">
      <c r="D214" s="9" t="s">
        <v>310</v>
      </c>
      <c r="E214" s="9" t="s">
        <v>2768</v>
      </c>
      <c r="F214" s="4" t="s">
        <v>1798</v>
      </c>
      <c r="G214" s="9" t="s">
        <v>2974</v>
      </c>
      <c r="H214" s="164">
        <v>1618445.5004467042</v>
      </c>
      <c r="I214" s="165">
        <v>2390738.8405033839</v>
      </c>
      <c r="J214" s="165">
        <v>623851.52202766552</v>
      </c>
      <c r="K214" s="165">
        <v>1482655.0752543584</v>
      </c>
      <c r="L214" s="177">
        <f t="shared" si="35"/>
        <v>2242297.02247437</v>
      </c>
      <c r="M214" s="166">
        <f t="shared" si="36"/>
        <v>3873393.9157577422</v>
      </c>
      <c r="N214" s="189">
        <f>INDEX('CHIRP Payment Calc'!AM:AM,MATCH(F214,'CHIRP Payment Calc'!C:C,0))</f>
        <v>1.4</v>
      </c>
      <c r="O214" s="189">
        <f>INDEX('CHIRP Payment Calc'!AL:AL,MATCH(FeeCalc!F214,'CHIRP Payment Calc'!C:C,0))</f>
        <v>0.27</v>
      </c>
      <c r="P214" s="164">
        <f t="shared" si="33"/>
        <v>4185032.1887187082</v>
      </c>
      <c r="Q214" s="165">
        <f t="shared" si="37"/>
        <v>177613.881469257</v>
      </c>
      <c r="R214" s="165">
        <f t="shared" si="38"/>
        <v>81300.574541962254</v>
      </c>
      <c r="S214" s="165">
        <f t="shared" si="39"/>
        <v>258914.45601121924</v>
      </c>
      <c r="T214" s="165">
        <f t="shared" si="40"/>
        <v>2404056.9767908603</v>
      </c>
      <c r="U214" s="165">
        <f t="shared" si="41"/>
        <v>929140.56472205499</v>
      </c>
      <c r="V214" s="165">
        <f t="shared" si="42"/>
        <v>684880.09223969618</v>
      </c>
      <c r="W214" s="165">
        <f t="shared" si="43"/>
        <v>425869.01097731577</v>
      </c>
      <c r="X214" s="166">
        <f t="shared" si="34"/>
        <v>1355009.5756993708</v>
      </c>
    </row>
    <row r="215" spans="4:24">
      <c r="D215" s="9" t="s">
        <v>310</v>
      </c>
      <c r="E215" s="9" t="s">
        <v>2768</v>
      </c>
      <c r="F215" s="4" t="s">
        <v>1290</v>
      </c>
      <c r="G215" s="9" t="s">
        <v>3585</v>
      </c>
      <c r="H215" s="164">
        <v>3004659.5166823287</v>
      </c>
      <c r="I215" s="165">
        <v>3155063.7203165856</v>
      </c>
      <c r="J215" s="165">
        <v>577114.97354362439</v>
      </c>
      <c r="K215" s="165">
        <v>518083.72954183875</v>
      </c>
      <c r="L215" s="177">
        <f t="shared" si="35"/>
        <v>3581774.490225953</v>
      </c>
      <c r="M215" s="166">
        <f t="shared" si="36"/>
        <v>3673147.4498584243</v>
      </c>
      <c r="N215" s="189">
        <f>INDEX('CHIRP Payment Calc'!AM:AM,MATCH(F215,'CHIRP Payment Calc'!C:C,0))</f>
        <v>0.88</v>
      </c>
      <c r="O215" s="189">
        <f>INDEX('CHIRP Payment Calc'!AL:AL,MATCH(FeeCalc!F215,'CHIRP Payment Calc'!C:C,0))</f>
        <v>0.32</v>
      </c>
      <c r="P215" s="164">
        <f t="shared" si="33"/>
        <v>4327368.735353535</v>
      </c>
      <c r="Q215" s="165">
        <f t="shared" si="37"/>
        <v>222906.04137713637</v>
      </c>
      <c r="R215" s="165">
        <f t="shared" si="38"/>
        <v>42998.806606709237</v>
      </c>
      <c r="S215" s="165">
        <f t="shared" si="39"/>
        <v>265904.84798384563</v>
      </c>
      <c r="T215" s="165">
        <f t="shared" si="40"/>
        <v>2805411.5381224924</v>
      </c>
      <c r="U215" s="165">
        <f t="shared" si="41"/>
        <v>540277.84757275484</v>
      </c>
      <c r="V215" s="165">
        <f t="shared" si="42"/>
        <v>1071215.2684364005</v>
      </c>
      <c r="W215" s="165">
        <f t="shared" si="43"/>
        <v>176368.92920573236</v>
      </c>
      <c r="X215" s="166">
        <f t="shared" si="34"/>
        <v>716646.77677848726</v>
      </c>
    </row>
    <row r="216" spans="4:24">
      <c r="D216" s="9" t="s">
        <v>310</v>
      </c>
      <c r="E216" s="9" t="s">
        <v>2768</v>
      </c>
      <c r="F216" s="4" t="s">
        <v>321</v>
      </c>
      <c r="G216" s="9" t="s">
        <v>3498</v>
      </c>
      <c r="H216" s="164">
        <v>1120982.7105841485</v>
      </c>
      <c r="I216" s="165">
        <v>23796.862055663467</v>
      </c>
      <c r="J216" s="165">
        <v>476848.45210763608</v>
      </c>
      <c r="K216" s="165">
        <v>255338.14761783704</v>
      </c>
      <c r="L216" s="177">
        <f t="shared" si="35"/>
        <v>1597831.1626917846</v>
      </c>
      <c r="M216" s="166">
        <f t="shared" si="36"/>
        <v>279135.00967350049</v>
      </c>
      <c r="N216" s="189">
        <f>INDEX('CHIRP Payment Calc'!AM:AM,MATCH(F216,'CHIRP Payment Calc'!C:C,0))</f>
        <v>1.18</v>
      </c>
      <c r="O216" s="189">
        <f>INDEX('CHIRP Payment Calc'!AL:AL,MATCH(FeeCalc!F216,'CHIRP Payment Calc'!C:C,0))</f>
        <v>0.39</v>
      </c>
      <c r="P216" s="164">
        <f t="shared" si="33"/>
        <v>1994303.4257489708</v>
      </c>
      <c r="Q216" s="165">
        <f t="shared" si="37"/>
        <v>81265.06264693127</v>
      </c>
      <c r="R216" s="165">
        <f t="shared" si="38"/>
        <v>42272.1096419979</v>
      </c>
      <c r="S216" s="165">
        <f t="shared" si="39"/>
        <v>123537.17228892917</v>
      </c>
      <c r="T216" s="165">
        <f t="shared" si="40"/>
        <v>1403458.4599355916</v>
      </c>
      <c r="U216" s="165">
        <f t="shared" si="41"/>
        <v>598596.99307128787</v>
      </c>
      <c r="V216" s="165">
        <f t="shared" si="42"/>
        <v>9846.9774023435039</v>
      </c>
      <c r="W216" s="165">
        <f t="shared" si="43"/>
        <v>105938.16762867708</v>
      </c>
      <c r="X216" s="166">
        <f t="shared" si="34"/>
        <v>704535.16069996497</v>
      </c>
    </row>
    <row r="217" spans="4:24">
      <c r="D217" s="9" t="s">
        <v>310</v>
      </c>
      <c r="E217" s="9" t="s">
        <v>2768</v>
      </c>
      <c r="F217" s="4" t="s">
        <v>175</v>
      </c>
      <c r="G217" s="9" t="s">
        <v>3496</v>
      </c>
      <c r="H217" s="164">
        <v>1467076.7218608349</v>
      </c>
      <c r="I217" s="165">
        <v>1207342.1396836666</v>
      </c>
      <c r="J217" s="165">
        <v>687922.46569573681</v>
      </c>
      <c r="K217" s="165">
        <v>636967.28416616563</v>
      </c>
      <c r="L217" s="177">
        <f t="shared" si="35"/>
        <v>2154999.1875565718</v>
      </c>
      <c r="M217" s="166">
        <f t="shared" si="36"/>
        <v>1844309.4238498323</v>
      </c>
      <c r="N217" s="189">
        <f>INDEX('CHIRP Payment Calc'!AM:AM,MATCH(F217,'CHIRP Payment Calc'!C:C,0))</f>
        <v>0.95</v>
      </c>
      <c r="O217" s="189">
        <f>INDEX('CHIRP Payment Calc'!AL:AL,MATCH(FeeCalc!F217,'CHIRP Payment Calc'!C:C,0))</f>
        <v>0.25</v>
      </c>
      <c r="P217" s="164">
        <f t="shared" si="33"/>
        <v>2508326.5841412013</v>
      </c>
      <c r="Q217" s="165">
        <f t="shared" si="37"/>
        <v>103442.55616933772</v>
      </c>
      <c r="R217" s="165">
        <f t="shared" si="38"/>
        <v>51878.818943776052</v>
      </c>
      <c r="S217" s="165">
        <f t="shared" si="39"/>
        <v>155321.37511311378</v>
      </c>
      <c r="T217" s="165">
        <f t="shared" si="40"/>
        <v>1478751.0724326717</v>
      </c>
      <c r="U217" s="165">
        <f t="shared" si="41"/>
        <v>695240.78979888302</v>
      </c>
      <c r="V217" s="165">
        <f t="shared" si="42"/>
        <v>320249.90442537575</v>
      </c>
      <c r="W217" s="165">
        <f t="shared" si="43"/>
        <v>169406.19259738448</v>
      </c>
      <c r="X217" s="166">
        <f t="shared" si="34"/>
        <v>864646.98239626747</v>
      </c>
    </row>
    <row r="218" spans="4:24">
      <c r="D218" s="9" t="s">
        <v>310</v>
      </c>
      <c r="E218" s="9" t="s">
        <v>2768</v>
      </c>
      <c r="F218" s="4" t="s">
        <v>854</v>
      </c>
      <c r="G218" s="9" t="s">
        <v>3521</v>
      </c>
      <c r="H218" s="164">
        <v>2606640.5732035469</v>
      </c>
      <c r="I218" s="165">
        <v>2868435.0778366164</v>
      </c>
      <c r="J218" s="165">
        <v>1103115.8447180898</v>
      </c>
      <c r="K218" s="165">
        <v>1204280.0513402324</v>
      </c>
      <c r="L218" s="177">
        <f t="shared" si="35"/>
        <v>3709756.4179216367</v>
      </c>
      <c r="M218" s="166">
        <f t="shared" si="36"/>
        <v>4072715.1291768486</v>
      </c>
      <c r="N218" s="189">
        <f>INDEX('CHIRP Payment Calc'!AM:AM,MATCH(F218,'CHIRP Payment Calc'!C:C,0))</f>
        <v>0.76</v>
      </c>
      <c r="O218" s="189">
        <f>INDEX('CHIRP Payment Calc'!AL:AL,MATCH(FeeCalc!F218,'CHIRP Payment Calc'!C:C,0))</f>
        <v>0.17</v>
      </c>
      <c r="P218" s="164">
        <f t="shared" si="33"/>
        <v>3511776.4495805083</v>
      </c>
      <c r="Q218" s="165">
        <f t="shared" si="37"/>
        <v>150609.1734056742</v>
      </c>
      <c r="R218" s="165">
        <f t="shared" si="38"/>
        <v>66580.573449803487</v>
      </c>
      <c r="S218" s="165">
        <f t="shared" si="39"/>
        <v>217189.74685547769</v>
      </c>
      <c r="T218" s="165">
        <f t="shared" si="40"/>
        <v>2101906.4569068388</v>
      </c>
      <c r="U218" s="165">
        <f t="shared" si="41"/>
        <v>891880.89572951954</v>
      </c>
      <c r="V218" s="165">
        <f t="shared" si="42"/>
        <v>517383.51536575577</v>
      </c>
      <c r="W218" s="165">
        <f t="shared" si="43"/>
        <v>217795.32843387185</v>
      </c>
      <c r="X218" s="166">
        <f t="shared" si="34"/>
        <v>1109676.2241633914</v>
      </c>
    </row>
    <row r="219" spans="4:24">
      <c r="D219" s="9" t="s">
        <v>310</v>
      </c>
      <c r="E219" s="9" t="s">
        <v>2768</v>
      </c>
      <c r="F219" s="4" t="s">
        <v>357</v>
      </c>
      <c r="G219" s="9" t="s">
        <v>3499</v>
      </c>
      <c r="H219" s="164">
        <v>636689.96508928528</v>
      </c>
      <c r="I219" s="165">
        <v>98802.675522187419</v>
      </c>
      <c r="J219" s="165">
        <v>388689.92751230061</v>
      </c>
      <c r="K219" s="165">
        <v>226355.57205854007</v>
      </c>
      <c r="L219" s="177">
        <f t="shared" si="35"/>
        <v>1025379.8926015859</v>
      </c>
      <c r="M219" s="166">
        <f t="shared" si="36"/>
        <v>325158.2475807275</v>
      </c>
      <c r="N219" s="189">
        <f>INDEX('CHIRP Payment Calc'!AM:AM,MATCH(F219,'CHIRP Payment Calc'!C:C,0))</f>
        <v>1.25</v>
      </c>
      <c r="O219" s="189">
        <f>INDEX('CHIRP Payment Calc'!AL:AL,MATCH(FeeCalc!F219,'CHIRP Payment Calc'!C:C,0))</f>
        <v>0.37</v>
      </c>
      <c r="P219" s="164">
        <f t="shared" si="33"/>
        <v>1402033.4173568515</v>
      </c>
      <c r="Q219" s="165">
        <f t="shared" si="37"/>
        <v>50784.210252017954</v>
      </c>
      <c r="R219" s="165">
        <f t="shared" si="38"/>
        <v>36358.338577789516</v>
      </c>
      <c r="S219" s="165">
        <f t="shared" si="39"/>
        <v>87142.548829807463</v>
      </c>
      <c r="T219" s="165">
        <f t="shared" si="40"/>
        <v>844416.39932265959</v>
      </c>
      <c r="U219" s="165">
        <f t="shared" si="41"/>
        <v>516874.90360678278</v>
      </c>
      <c r="V219" s="165">
        <f t="shared" si="42"/>
        <v>38787.257234174365</v>
      </c>
      <c r="W219" s="165">
        <f t="shared" si="43"/>
        <v>89097.406023042378</v>
      </c>
      <c r="X219" s="166">
        <f t="shared" si="34"/>
        <v>605972.30962982518</v>
      </c>
    </row>
    <row r="220" spans="4:24">
      <c r="D220" s="9" t="s">
        <v>310</v>
      </c>
      <c r="E220" s="9" t="s">
        <v>2768</v>
      </c>
      <c r="F220" s="4" t="s">
        <v>1181</v>
      </c>
      <c r="G220" s="9" t="s">
        <v>2871</v>
      </c>
      <c r="H220" s="164">
        <v>1738465.5120172619</v>
      </c>
      <c r="I220" s="165">
        <v>5456915.5005336385</v>
      </c>
      <c r="J220" s="165">
        <v>416104.7055894041</v>
      </c>
      <c r="K220" s="165">
        <v>2247186.7047104049</v>
      </c>
      <c r="L220" s="177">
        <f t="shared" si="35"/>
        <v>2154570.217606666</v>
      </c>
      <c r="M220" s="166">
        <f t="shared" si="36"/>
        <v>7704102.2052440438</v>
      </c>
      <c r="N220" s="189">
        <f>INDEX('CHIRP Payment Calc'!AM:AM,MATCH(F220,'CHIRP Payment Calc'!C:C,0))</f>
        <v>1.1299999999999999</v>
      </c>
      <c r="O220" s="189">
        <f>INDEX('CHIRP Payment Calc'!AL:AL,MATCH(FeeCalc!F220,'CHIRP Payment Calc'!C:C,0))</f>
        <v>0.16</v>
      </c>
      <c r="P220" s="164">
        <f t="shared" si="33"/>
        <v>3667320.6987345796</v>
      </c>
      <c r="Q220" s="165">
        <f t="shared" si="37"/>
        <v>173114.50318114701</v>
      </c>
      <c r="R220" s="165">
        <f t="shared" si="38"/>
        <v>52962.650429980305</v>
      </c>
      <c r="S220" s="165">
        <f t="shared" si="39"/>
        <v>226077.15361112732</v>
      </c>
      <c r="T220" s="165">
        <f t="shared" si="40"/>
        <v>2084314.0886785206</v>
      </c>
      <c r="U220" s="165">
        <f t="shared" si="41"/>
        <v>500210.9758681134</v>
      </c>
      <c r="V220" s="165">
        <f t="shared" si="42"/>
        <v>926372.92316751427</v>
      </c>
      <c r="W220" s="165">
        <f t="shared" si="43"/>
        <v>382499.8646315583</v>
      </c>
      <c r="X220" s="166">
        <f t="shared" si="34"/>
        <v>882710.84049967164</v>
      </c>
    </row>
    <row r="221" spans="4:24">
      <c r="D221" s="9" t="s">
        <v>310</v>
      </c>
      <c r="E221" s="9" t="s">
        <v>2768</v>
      </c>
      <c r="F221" s="4" t="s">
        <v>50</v>
      </c>
      <c r="G221" s="9" t="s">
        <v>3495</v>
      </c>
      <c r="H221" s="164">
        <v>682025.98800347699</v>
      </c>
      <c r="I221" s="165">
        <v>69746.642849996453</v>
      </c>
      <c r="J221" s="165">
        <v>371549.19472181733</v>
      </c>
      <c r="K221" s="165">
        <v>230622.29043896944</v>
      </c>
      <c r="L221" s="177">
        <f t="shared" si="35"/>
        <v>1053575.1827252943</v>
      </c>
      <c r="M221" s="166">
        <f t="shared" si="36"/>
        <v>300368.9332889659</v>
      </c>
      <c r="N221" s="189">
        <f>INDEX('CHIRP Payment Calc'!AM:AM,MATCH(F221,'CHIRP Payment Calc'!C:C,0))</f>
        <v>1.23</v>
      </c>
      <c r="O221" s="189">
        <f>INDEX('CHIRP Payment Calc'!AL:AL,MATCH(FeeCalc!F221,'CHIRP Payment Calc'!C:C,0))</f>
        <v>0.27</v>
      </c>
      <c r="P221" s="164">
        <f t="shared" si="33"/>
        <v>1376997.0867401327</v>
      </c>
      <c r="Q221" s="165">
        <f t="shared" si="37"/>
        <v>52327.962474049986</v>
      </c>
      <c r="R221" s="165">
        <f t="shared" si="38"/>
        <v>33145.11880381003</v>
      </c>
      <c r="S221" s="165">
        <f t="shared" si="39"/>
        <v>85473.081277860008</v>
      </c>
      <c r="T221" s="165">
        <f t="shared" si="40"/>
        <v>890071.05065705755</v>
      </c>
      <c r="U221" s="165">
        <f t="shared" si="41"/>
        <v>486176.07394450571</v>
      </c>
      <c r="V221" s="165">
        <f t="shared" si="42"/>
        <v>19980.470630768217</v>
      </c>
      <c r="W221" s="165">
        <f t="shared" si="43"/>
        <v>66242.572785661439</v>
      </c>
      <c r="X221" s="166">
        <f t="shared" si="34"/>
        <v>552418.64673016709</v>
      </c>
    </row>
    <row r="222" spans="4:24">
      <c r="D222" s="9" t="s">
        <v>310</v>
      </c>
      <c r="E222" s="9" t="s">
        <v>2768</v>
      </c>
      <c r="F222" s="4" t="s">
        <v>857</v>
      </c>
      <c r="G222" s="9" t="s">
        <v>3523</v>
      </c>
      <c r="H222" s="164">
        <v>0</v>
      </c>
      <c r="I222" s="165">
        <v>384535.38150857197</v>
      </c>
      <c r="J222" s="165">
        <v>0</v>
      </c>
      <c r="K222" s="165">
        <v>249515.60315530145</v>
      </c>
      <c r="L222" s="177">
        <f t="shared" si="35"/>
        <v>0</v>
      </c>
      <c r="M222" s="166">
        <f t="shared" si="36"/>
        <v>634050.98466387345</v>
      </c>
      <c r="N222" s="189">
        <f>INDEX('CHIRP Payment Calc'!AM:AM,MATCH(F222,'CHIRP Payment Calc'!C:C,0))</f>
        <v>0.42</v>
      </c>
      <c r="O222" s="189">
        <f>INDEX('CHIRP Payment Calc'!AL:AL,MATCH(FeeCalc!F222,'CHIRP Payment Calc'!C:C,0))</f>
        <v>0.16</v>
      </c>
      <c r="P222" s="164">
        <f t="shared" si="33"/>
        <v>101448.15754621975</v>
      </c>
      <c r="Q222" s="165">
        <f t="shared" si="37"/>
        <v>3753.5549176433556</v>
      </c>
      <c r="R222" s="165">
        <f t="shared" si="38"/>
        <v>2548.244457756271</v>
      </c>
      <c r="S222" s="165">
        <f t="shared" si="39"/>
        <v>6301.799375399627</v>
      </c>
      <c r="T222" s="165">
        <f t="shared" si="40"/>
        <v>0</v>
      </c>
      <c r="U222" s="165">
        <f t="shared" si="41"/>
        <v>0</v>
      </c>
      <c r="V222" s="165">
        <f t="shared" si="42"/>
        <v>65279.215959014873</v>
      </c>
      <c r="W222" s="165">
        <f t="shared" si="43"/>
        <v>42470.740962604512</v>
      </c>
      <c r="X222" s="166">
        <f t="shared" si="34"/>
        <v>42470.740962604512</v>
      </c>
    </row>
    <row r="223" spans="4:24">
      <c r="D223" s="9" t="s">
        <v>310</v>
      </c>
      <c r="E223" s="9" t="s">
        <v>2768</v>
      </c>
      <c r="F223" s="4" t="s">
        <v>902</v>
      </c>
      <c r="G223" s="9" t="s">
        <v>903</v>
      </c>
      <c r="H223" s="164">
        <v>452832.59580779128</v>
      </c>
      <c r="I223" s="165">
        <v>0</v>
      </c>
      <c r="J223" s="165">
        <v>198534.28767613115</v>
      </c>
      <c r="K223" s="165">
        <v>34622.754574648934</v>
      </c>
      <c r="L223" s="177">
        <f t="shared" si="35"/>
        <v>651366.88348392246</v>
      </c>
      <c r="M223" s="166">
        <f t="shared" si="36"/>
        <v>34622.754574648934</v>
      </c>
      <c r="N223" s="189">
        <f>INDEX('CHIRP Payment Calc'!AM:AM,MATCH(F223,'CHIRP Payment Calc'!C:C,0))</f>
        <v>0.62</v>
      </c>
      <c r="O223" s="189">
        <f>INDEX('CHIRP Payment Calc'!AL:AL,MATCH(FeeCalc!F223,'CHIRP Payment Calc'!C:C,0))</f>
        <v>0.16</v>
      </c>
      <c r="P223" s="164">
        <f t="shared" si="33"/>
        <v>409387.10849197576</v>
      </c>
      <c r="Q223" s="165">
        <f t="shared" si="37"/>
        <v>17128.362907742983</v>
      </c>
      <c r="R223" s="165">
        <f t="shared" si="38"/>
        <v>8210.4829207113926</v>
      </c>
      <c r="S223" s="165">
        <f t="shared" si="39"/>
        <v>25338.845828454374</v>
      </c>
      <c r="T223" s="165">
        <f t="shared" si="40"/>
        <v>297884.57230857358</v>
      </c>
      <c r="U223" s="165">
        <f t="shared" si="41"/>
        <v>130948.14719063969</v>
      </c>
      <c r="V223" s="165">
        <f t="shared" si="42"/>
        <v>0</v>
      </c>
      <c r="W223" s="165">
        <f t="shared" si="43"/>
        <v>5893.2348212168399</v>
      </c>
      <c r="X223" s="166">
        <f t="shared" si="34"/>
        <v>136841.38201185653</v>
      </c>
    </row>
    <row r="224" spans="4:24">
      <c r="D224" s="9" t="s">
        <v>310</v>
      </c>
      <c r="E224" s="9" t="s">
        <v>2768</v>
      </c>
      <c r="F224" s="4" t="s">
        <v>921</v>
      </c>
      <c r="G224" s="9" t="s">
        <v>2804</v>
      </c>
      <c r="H224" s="164">
        <v>168473.75516852972</v>
      </c>
      <c r="I224" s="165">
        <v>44999.373244878407</v>
      </c>
      <c r="J224" s="165">
        <v>34501.675649223507</v>
      </c>
      <c r="K224" s="165">
        <v>24482.147313277164</v>
      </c>
      <c r="L224" s="177">
        <f t="shared" si="35"/>
        <v>202975.43081775322</v>
      </c>
      <c r="M224" s="166">
        <f t="shared" si="36"/>
        <v>69481.520558155578</v>
      </c>
      <c r="N224" s="189">
        <f>INDEX('CHIRP Payment Calc'!AM:AM,MATCH(F224,'CHIRP Payment Calc'!C:C,0))</f>
        <v>0.42</v>
      </c>
      <c r="O224" s="189">
        <f>INDEX('CHIRP Payment Calc'!AL:AL,MATCH(FeeCalc!F224,'CHIRP Payment Calc'!C:C,0))</f>
        <v>0.16</v>
      </c>
      <c r="P224" s="164">
        <f t="shared" si="33"/>
        <v>96366.724232761248</v>
      </c>
      <c r="Q224" s="165">
        <f t="shared" si="37"/>
        <v>4756.111852703315</v>
      </c>
      <c r="R224" s="165">
        <f t="shared" si="38"/>
        <v>1174.9689793275461</v>
      </c>
      <c r="S224" s="165">
        <f t="shared" si="39"/>
        <v>5931.0808320308606</v>
      </c>
      <c r="T224" s="165">
        <f t="shared" si="40"/>
        <v>75075.837846984068</v>
      </c>
      <c r="U224" s="165">
        <f t="shared" si="41"/>
        <v>15415.642311355185</v>
      </c>
      <c r="V224" s="165">
        <f t="shared" si="42"/>
        <v>7639.1508956822763</v>
      </c>
      <c r="W224" s="165">
        <f t="shared" si="43"/>
        <v>4167.1740107705818</v>
      </c>
      <c r="X224" s="166">
        <f t="shared" si="34"/>
        <v>19582.816322125767</v>
      </c>
    </row>
    <row r="225" spans="4:24">
      <c r="D225" s="9" t="s">
        <v>310</v>
      </c>
      <c r="E225" s="9" t="s">
        <v>2768</v>
      </c>
      <c r="F225" s="4" t="s">
        <v>905</v>
      </c>
      <c r="G225" s="9" t="s">
        <v>3103</v>
      </c>
      <c r="H225" s="164">
        <v>19292.594130700603</v>
      </c>
      <c r="I225" s="165">
        <v>10458.468368086251</v>
      </c>
      <c r="J225" s="165">
        <v>5899.7291258431515</v>
      </c>
      <c r="K225" s="165">
        <v>9948.5655702485128</v>
      </c>
      <c r="L225" s="177">
        <f t="shared" si="35"/>
        <v>25192.323256543754</v>
      </c>
      <c r="M225" s="166">
        <f t="shared" si="36"/>
        <v>20407.033938334764</v>
      </c>
      <c r="N225" s="189">
        <f>INDEX('CHIRP Payment Calc'!AM:AM,MATCH(F225,'CHIRP Payment Calc'!C:C,0))</f>
        <v>0.42</v>
      </c>
      <c r="O225" s="189">
        <f>INDEX('CHIRP Payment Calc'!AL:AL,MATCH(FeeCalc!F225,'CHIRP Payment Calc'!C:C,0))</f>
        <v>0.18</v>
      </c>
      <c r="P225" s="164">
        <f t="shared" si="33"/>
        <v>14254.041876648635</v>
      </c>
      <c r="Q225" s="165">
        <f t="shared" si="37"/>
        <v>609.18970383672399</v>
      </c>
      <c r="R225" s="165">
        <f t="shared" si="38"/>
        <v>272.46561928716108</v>
      </c>
      <c r="S225" s="165">
        <f t="shared" si="39"/>
        <v>881.65532312388507</v>
      </c>
      <c r="T225" s="165">
        <f t="shared" si="40"/>
        <v>8597.230275749871</v>
      </c>
      <c r="U225" s="165">
        <f t="shared" si="41"/>
        <v>2636.0491838873659</v>
      </c>
      <c r="V225" s="165">
        <f t="shared" si="42"/>
        <v>1997.3732692366316</v>
      </c>
      <c r="W225" s="165">
        <f t="shared" si="43"/>
        <v>1905.0444708986513</v>
      </c>
      <c r="X225" s="166">
        <f t="shared" si="34"/>
        <v>4541.0936547860174</v>
      </c>
    </row>
    <row r="226" spans="4:24">
      <c r="D226" s="9" t="s">
        <v>310</v>
      </c>
      <c r="E226" s="9" t="s">
        <v>2768</v>
      </c>
      <c r="F226" s="4" t="s">
        <v>909</v>
      </c>
      <c r="G226" s="9" t="s">
        <v>3571</v>
      </c>
      <c r="H226" s="164">
        <v>2278601.1422039168</v>
      </c>
      <c r="I226" s="165">
        <v>3243816.4375626002</v>
      </c>
      <c r="J226" s="165">
        <v>628859.54285513167</v>
      </c>
      <c r="K226" s="165">
        <v>1349979.3266804654</v>
      </c>
      <c r="L226" s="177">
        <f t="shared" si="35"/>
        <v>2907460.6850590482</v>
      </c>
      <c r="M226" s="166">
        <f t="shared" si="36"/>
        <v>4593795.7642430654</v>
      </c>
      <c r="N226" s="189">
        <f>INDEX('CHIRP Payment Calc'!AM:AM,MATCH(F226,'CHIRP Payment Calc'!C:C,0))</f>
        <v>1.04</v>
      </c>
      <c r="O226" s="189">
        <f>INDEX('CHIRP Payment Calc'!AL:AL,MATCH(FeeCalc!F226,'CHIRP Payment Calc'!C:C,0))</f>
        <v>0.49</v>
      </c>
      <c r="P226" s="164">
        <f t="shared" si="33"/>
        <v>5274719.0369405122</v>
      </c>
      <c r="Q226" s="165">
        <f t="shared" si="37"/>
        <v>241543.63547174589</v>
      </c>
      <c r="R226" s="165">
        <f t="shared" si="38"/>
        <v>83968.327317623305</v>
      </c>
      <c r="S226" s="165">
        <f t="shared" si="39"/>
        <v>325511.96278936916</v>
      </c>
      <c r="T226" s="165">
        <f t="shared" si="40"/>
        <v>2514318.5017422531</v>
      </c>
      <c r="U226" s="165">
        <f t="shared" si="41"/>
        <v>695759.49422269885</v>
      </c>
      <c r="V226" s="165">
        <f t="shared" si="42"/>
        <v>1686440.3760272404</v>
      </c>
      <c r="W226" s="165">
        <f t="shared" si="43"/>
        <v>703712.62773768941</v>
      </c>
      <c r="X226" s="166">
        <f t="shared" si="34"/>
        <v>1399472.1219603883</v>
      </c>
    </row>
    <row r="227" spans="4:24">
      <c r="D227" s="9" t="s">
        <v>310</v>
      </c>
      <c r="E227" s="9" t="s">
        <v>2768</v>
      </c>
      <c r="F227" s="4" t="s">
        <v>193</v>
      </c>
      <c r="G227" s="9" t="s">
        <v>3497</v>
      </c>
      <c r="H227" s="164">
        <v>2167527.8346913587</v>
      </c>
      <c r="I227" s="165">
        <v>1608941.1258020103</v>
      </c>
      <c r="J227" s="165">
        <v>742544.83326280257</v>
      </c>
      <c r="K227" s="165">
        <v>810004.08934382861</v>
      </c>
      <c r="L227" s="177">
        <f t="shared" si="35"/>
        <v>2910072.6679541613</v>
      </c>
      <c r="M227" s="166">
        <f t="shared" si="36"/>
        <v>2418945.2151458389</v>
      </c>
      <c r="N227" s="189">
        <f>INDEX('CHIRP Payment Calc'!AM:AM,MATCH(F227,'CHIRP Payment Calc'!C:C,0))</f>
        <v>0.98</v>
      </c>
      <c r="O227" s="189">
        <f>INDEX('CHIRP Payment Calc'!AL:AL,MATCH(FeeCalc!F227,'CHIRP Payment Calc'!C:C,0))</f>
        <v>0.31</v>
      </c>
      <c r="P227" s="164">
        <f t="shared" si="33"/>
        <v>3601744.2312902883</v>
      </c>
      <c r="Q227" s="165">
        <f t="shared" si="37"/>
        <v>160020.76292018982</v>
      </c>
      <c r="R227" s="165">
        <f t="shared" si="38"/>
        <v>62476.289635795758</v>
      </c>
      <c r="S227" s="165">
        <f t="shared" si="39"/>
        <v>222497.05255598557</v>
      </c>
      <c r="T227" s="165">
        <f t="shared" si="40"/>
        <v>2253768.9952228451</v>
      </c>
      <c r="U227" s="165">
        <f t="shared" si="41"/>
        <v>774142.48574207083</v>
      </c>
      <c r="V227" s="165">
        <f t="shared" si="42"/>
        <v>529200.79469349934</v>
      </c>
      <c r="W227" s="165">
        <f t="shared" si="43"/>
        <v>267129.00818785839</v>
      </c>
      <c r="X227" s="166">
        <f t="shared" si="34"/>
        <v>1041271.4939299292</v>
      </c>
    </row>
    <row r="228" spans="4:24">
      <c r="D228" s="9" t="s">
        <v>310</v>
      </c>
      <c r="E228" s="9" t="s">
        <v>2768</v>
      </c>
      <c r="F228" s="4" t="s">
        <v>138</v>
      </c>
      <c r="G228" s="9" t="s">
        <v>3462</v>
      </c>
      <c r="H228" s="164">
        <v>590368.72709680896</v>
      </c>
      <c r="I228" s="165">
        <v>7679.7981184696264</v>
      </c>
      <c r="J228" s="165">
        <v>309371.16436494066</v>
      </c>
      <c r="K228" s="165">
        <v>204915.956784774</v>
      </c>
      <c r="L228" s="177">
        <f t="shared" si="35"/>
        <v>899739.89146174956</v>
      </c>
      <c r="M228" s="166">
        <f t="shared" si="36"/>
        <v>212595.75490324362</v>
      </c>
      <c r="N228" s="189">
        <f>INDEX('CHIRP Payment Calc'!AM:AM,MATCH(F228,'CHIRP Payment Calc'!C:C,0))</f>
        <v>0.42</v>
      </c>
      <c r="O228" s="189">
        <f>INDEX('CHIRP Payment Calc'!AL:AL,MATCH(FeeCalc!F228,'CHIRP Payment Calc'!C:C,0))</f>
        <v>0.21000000000000002</v>
      </c>
      <c r="P228" s="164">
        <f t="shared" si="33"/>
        <v>422535.86294361594</v>
      </c>
      <c r="Q228" s="165">
        <f t="shared" si="37"/>
        <v>15225.61095137237</v>
      </c>
      <c r="R228" s="165">
        <f t="shared" si="38"/>
        <v>11040.525954770912</v>
      </c>
      <c r="S228" s="165">
        <f t="shared" si="39"/>
        <v>26266.136906143282</v>
      </c>
      <c r="T228" s="165">
        <f t="shared" si="40"/>
        <v>263082.08528451965</v>
      </c>
      <c r="U228" s="165">
        <f t="shared" si="41"/>
        <v>138229.66918433519</v>
      </c>
      <c r="V228" s="165">
        <f t="shared" si="42"/>
        <v>1711.1486523911105</v>
      </c>
      <c r="W228" s="165">
        <f t="shared" si="43"/>
        <v>45779.096728513345</v>
      </c>
      <c r="X228" s="166">
        <f t="shared" si="34"/>
        <v>184008.76591284852</v>
      </c>
    </row>
    <row r="229" spans="4:24">
      <c r="D229" s="9" t="s">
        <v>310</v>
      </c>
      <c r="E229" s="9" t="s">
        <v>2768</v>
      </c>
      <c r="F229" s="4" t="s">
        <v>345</v>
      </c>
      <c r="G229" s="9" t="s">
        <v>3110</v>
      </c>
      <c r="H229" s="164">
        <v>230399.41054623906</v>
      </c>
      <c r="I229" s="165">
        <v>68.375378233124152</v>
      </c>
      <c r="J229" s="165">
        <v>101037.61681365779</v>
      </c>
      <c r="K229" s="165">
        <v>8037.4145121269748</v>
      </c>
      <c r="L229" s="177">
        <f t="shared" si="35"/>
        <v>331437.02735989686</v>
      </c>
      <c r="M229" s="166">
        <f t="shared" si="36"/>
        <v>8105.789890360099</v>
      </c>
      <c r="N229" s="189">
        <f>INDEX('CHIRP Payment Calc'!AM:AM,MATCH(F229,'CHIRP Payment Calc'!C:C,0))</f>
        <v>0.42</v>
      </c>
      <c r="O229" s="189">
        <f>INDEX('CHIRP Payment Calc'!AL:AL,MATCH(FeeCalc!F229,'CHIRP Payment Calc'!C:C,0))</f>
        <v>0.16</v>
      </c>
      <c r="P229" s="164">
        <f t="shared" si="33"/>
        <v>140500.47787361429</v>
      </c>
      <c r="Q229" s="165">
        <f t="shared" si="37"/>
        <v>5904.2703641076059</v>
      </c>
      <c r="R229" s="165">
        <f t="shared" si="38"/>
        <v>2790.7522585325482</v>
      </c>
      <c r="S229" s="165">
        <f t="shared" si="39"/>
        <v>8695.0226226401537</v>
      </c>
      <c r="T229" s="165">
        <f t="shared" si="40"/>
        <v>102671.35536278028</v>
      </c>
      <c r="U229" s="165">
        <f t="shared" si="41"/>
        <v>45144.467086953482</v>
      </c>
      <c r="V229" s="165">
        <f t="shared" si="42"/>
        <v>11.607491265039643</v>
      </c>
      <c r="W229" s="165">
        <f t="shared" si="43"/>
        <v>1368.0705552556556</v>
      </c>
      <c r="X229" s="166">
        <f t="shared" si="34"/>
        <v>46512.537642209136</v>
      </c>
    </row>
    <row r="230" spans="4:24">
      <c r="D230" s="9" t="s">
        <v>310</v>
      </c>
      <c r="E230" s="9" t="s">
        <v>2768</v>
      </c>
      <c r="F230" s="4" t="s">
        <v>289</v>
      </c>
      <c r="G230" s="9" t="s">
        <v>290</v>
      </c>
      <c r="H230" s="164">
        <v>1677922.3708388256</v>
      </c>
      <c r="I230" s="165">
        <v>450370.68659635243</v>
      </c>
      <c r="J230" s="165">
        <v>825828.68254230137</v>
      </c>
      <c r="K230" s="165">
        <v>336909.61293972278</v>
      </c>
      <c r="L230" s="177">
        <f t="shared" si="35"/>
        <v>2503751.0533811268</v>
      </c>
      <c r="M230" s="166">
        <f t="shared" si="36"/>
        <v>787280.29953607521</v>
      </c>
      <c r="N230" s="189">
        <f>INDEX('CHIRP Payment Calc'!AM:AM,MATCH(F230,'CHIRP Payment Calc'!C:C,0))</f>
        <v>0.45999999999999996</v>
      </c>
      <c r="O230" s="189">
        <f>INDEX('CHIRP Payment Calc'!AL:AL,MATCH(FeeCalc!F230,'CHIRP Payment Calc'!C:C,0))</f>
        <v>0.16</v>
      </c>
      <c r="P230" s="164">
        <f t="shared" si="33"/>
        <v>1277690.3324810902</v>
      </c>
      <c r="Q230" s="165">
        <f t="shared" si="37"/>
        <v>51484.835040183956</v>
      </c>
      <c r="R230" s="165">
        <f t="shared" si="38"/>
        <v>27688.514811051973</v>
      </c>
      <c r="S230" s="165">
        <f t="shared" si="39"/>
        <v>79173.349851235922</v>
      </c>
      <c r="T230" s="165">
        <f t="shared" si="40"/>
        <v>818932.93430860445</v>
      </c>
      <c r="U230" s="165">
        <f t="shared" si="41"/>
        <v>404128.92975474318</v>
      </c>
      <c r="V230" s="165">
        <f t="shared" si="42"/>
        <v>76455.501172855598</v>
      </c>
      <c r="W230" s="165">
        <f t="shared" si="43"/>
        <v>57346.317096123028</v>
      </c>
      <c r="X230" s="166">
        <f t="shared" si="34"/>
        <v>461475.24685086618</v>
      </c>
    </row>
    <row r="231" spans="4:24">
      <c r="D231" s="9" t="s">
        <v>310</v>
      </c>
      <c r="E231" s="9" t="s">
        <v>2768</v>
      </c>
      <c r="F231" s="4" t="s">
        <v>153</v>
      </c>
      <c r="G231" s="9" t="s">
        <v>3583</v>
      </c>
      <c r="H231" s="164">
        <v>962772.14400392235</v>
      </c>
      <c r="I231" s="165">
        <v>1288396.7045148525</v>
      </c>
      <c r="J231" s="165">
        <v>184199.33477684422</v>
      </c>
      <c r="K231" s="165">
        <v>269337.01848880202</v>
      </c>
      <c r="L231" s="177">
        <f t="shared" si="35"/>
        <v>1146971.4787807665</v>
      </c>
      <c r="M231" s="166">
        <f t="shared" si="36"/>
        <v>1557733.7230036545</v>
      </c>
      <c r="N231" s="189">
        <f>INDEX('CHIRP Payment Calc'!AM:AM,MATCH(F231,'CHIRP Payment Calc'!C:C,0))</f>
        <v>0.62</v>
      </c>
      <c r="O231" s="189">
        <f>INDEX('CHIRP Payment Calc'!AL:AL,MATCH(FeeCalc!F231,'CHIRP Payment Calc'!C:C,0))</f>
        <v>0.16</v>
      </c>
      <c r="P231" s="164">
        <f t="shared" si="33"/>
        <v>960359.71252465993</v>
      </c>
      <c r="Q231" s="165">
        <f t="shared" si="37"/>
        <v>48993.184737693875</v>
      </c>
      <c r="R231" s="165">
        <f t="shared" si="38"/>
        <v>10040.266628926709</v>
      </c>
      <c r="S231" s="165">
        <f t="shared" si="39"/>
        <v>59033.451366620582</v>
      </c>
      <c r="T231" s="165">
        <f t="shared" si="40"/>
        <v>633335.52178507356</v>
      </c>
      <c r="U231" s="165">
        <f t="shared" si="41"/>
        <v>121493.17825706747</v>
      </c>
      <c r="V231" s="165">
        <f t="shared" si="42"/>
        <v>218719.86495742854</v>
      </c>
      <c r="W231" s="165">
        <f t="shared" si="43"/>
        <v>45844.598891710986</v>
      </c>
      <c r="X231" s="166">
        <f t="shared" si="34"/>
        <v>167337.77714877846</v>
      </c>
    </row>
    <row r="232" spans="4:24">
      <c r="D232" s="9" t="s">
        <v>310</v>
      </c>
      <c r="E232" s="9" t="s">
        <v>3389</v>
      </c>
      <c r="F232" s="4" t="s">
        <v>2789</v>
      </c>
      <c r="G232" s="9" t="s">
        <v>3149</v>
      </c>
      <c r="H232" s="164">
        <v>0</v>
      </c>
      <c r="I232" s="165">
        <v>0</v>
      </c>
      <c r="J232" s="165">
        <v>0</v>
      </c>
      <c r="K232" s="165">
        <v>0</v>
      </c>
      <c r="L232" s="177">
        <f t="shared" si="35"/>
        <v>0</v>
      </c>
      <c r="M232" s="166">
        <f t="shared" si="36"/>
        <v>0</v>
      </c>
      <c r="N232" s="189">
        <f>INDEX('CHIRP Payment Calc'!AM:AM,MATCH(F232,'CHIRP Payment Calc'!C:C,0))</f>
        <v>0</v>
      </c>
      <c r="O232" s="189">
        <f>INDEX('CHIRP Payment Calc'!AL:AL,MATCH(FeeCalc!F232,'CHIRP Payment Calc'!C:C,0))</f>
        <v>0</v>
      </c>
      <c r="P232" s="164">
        <f t="shared" si="33"/>
        <v>0</v>
      </c>
      <c r="Q232" s="165">
        <f t="shared" si="37"/>
        <v>0</v>
      </c>
      <c r="R232" s="165">
        <f t="shared" si="38"/>
        <v>0</v>
      </c>
      <c r="S232" s="165">
        <f t="shared" si="39"/>
        <v>0</v>
      </c>
      <c r="T232" s="165">
        <f t="shared" si="40"/>
        <v>0</v>
      </c>
      <c r="U232" s="165">
        <f t="shared" si="41"/>
        <v>0</v>
      </c>
      <c r="V232" s="165">
        <f t="shared" si="42"/>
        <v>0</v>
      </c>
      <c r="W232" s="165">
        <f t="shared" si="43"/>
        <v>0</v>
      </c>
      <c r="X232" s="166">
        <f t="shared" si="34"/>
        <v>0</v>
      </c>
    </row>
    <row r="233" spans="4:24">
      <c r="D233" s="9" t="s">
        <v>310</v>
      </c>
      <c r="E233" s="9" t="s">
        <v>3388</v>
      </c>
      <c r="F233" s="4" t="s">
        <v>1618</v>
      </c>
      <c r="G233" s="9" t="s">
        <v>3140</v>
      </c>
      <c r="H233" s="164">
        <v>1440784.0942715586</v>
      </c>
      <c r="I233" s="165">
        <v>603470.36714670225</v>
      </c>
      <c r="J233" s="165">
        <v>5408524.6314956443</v>
      </c>
      <c r="K233" s="165">
        <v>2294296.881177308</v>
      </c>
      <c r="L233" s="177">
        <f t="shared" si="35"/>
        <v>6849308.7257672027</v>
      </c>
      <c r="M233" s="166">
        <f t="shared" si="36"/>
        <v>2897767.2483240105</v>
      </c>
      <c r="N233" s="189">
        <f>INDEX('CHIRP Payment Calc'!AM:AM,MATCH(F233,'CHIRP Payment Calc'!C:C,0))</f>
        <v>0.67</v>
      </c>
      <c r="O233" s="189">
        <f>INDEX('CHIRP Payment Calc'!AL:AL,MATCH(FeeCalc!F233,'CHIRP Payment Calc'!C:C,0))</f>
        <v>0.28999999999999998</v>
      </c>
      <c r="P233" s="164">
        <f t="shared" si="33"/>
        <v>5429389.3482779888</v>
      </c>
      <c r="Q233" s="165">
        <f t="shared" si="37"/>
        <v>69569.31098565842</v>
      </c>
      <c r="R233" s="165">
        <f t="shared" si="38"/>
        <v>273769.63395596814</v>
      </c>
      <c r="S233" s="165">
        <f t="shared" si="39"/>
        <v>343338.94494162657</v>
      </c>
      <c r="T233" s="165">
        <f t="shared" si="40"/>
        <v>1024217.8707288533</v>
      </c>
      <c r="U233" s="165">
        <f t="shared" si="41"/>
        <v>3855012.2373426403</v>
      </c>
      <c r="V233" s="165">
        <f t="shared" si="42"/>
        <v>185683.189891293</v>
      </c>
      <c r="W233" s="165">
        <f t="shared" si="43"/>
        <v>707814.99525682908</v>
      </c>
      <c r="X233" s="166">
        <f t="shared" si="34"/>
        <v>4562827.2325994689</v>
      </c>
    </row>
    <row r="234" spans="4:24">
      <c r="D234" s="9" t="s">
        <v>310</v>
      </c>
      <c r="E234" s="9" t="s">
        <v>2718</v>
      </c>
      <c r="F234" s="4" t="s">
        <v>1720</v>
      </c>
      <c r="G234" s="9" t="s">
        <v>3577</v>
      </c>
      <c r="H234" s="164">
        <v>346187.63731723948</v>
      </c>
      <c r="I234" s="165">
        <v>595375.02229383134</v>
      </c>
      <c r="J234" s="165">
        <v>246472.28251986139</v>
      </c>
      <c r="K234" s="165">
        <v>750849.6322406613</v>
      </c>
      <c r="L234" s="177">
        <f t="shared" si="35"/>
        <v>592659.9198371009</v>
      </c>
      <c r="M234" s="166">
        <f t="shared" si="36"/>
        <v>1346224.6545344926</v>
      </c>
      <c r="N234" s="189">
        <f>INDEX('CHIRP Payment Calc'!AM:AM,MATCH(F234,'CHIRP Payment Calc'!C:C,0))</f>
        <v>1.6099999999999999</v>
      </c>
      <c r="O234" s="189">
        <f>INDEX('CHIRP Payment Calc'!AL:AL,MATCH(FeeCalc!F234,'CHIRP Payment Calc'!C:C,0))</f>
        <v>1.6400000000000001</v>
      </c>
      <c r="P234" s="164">
        <f t="shared" si="33"/>
        <v>3161990.9043743005</v>
      </c>
      <c r="Q234" s="165">
        <f t="shared" si="37"/>
        <v>93572.610214272412</v>
      </c>
      <c r="R234" s="165">
        <f t="shared" si="38"/>
        <v>103928.53862116989</v>
      </c>
      <c r="S234" s="165">
        <f t="shared" si="39"/>
        <v>197501.14883544232</v>
      </c>
      <c r="T234" s="165">
        <f t="shared" si="40"/>
        <v>591365.61918382545</v>
      </c>
      <c r="U234" s="165">
        <f t="shared" si="41"/>
        <v>422149.33495423064</v>
      </c>
      <c r="V234" s="165">
        <f t="shared" si="42"/>
        <v>1035984.1236730858</v>
      </c>
      <c r="W234" s="165">
        <f t="shared" si="43"/>
        <v>1309992.9753986008</v>
      </c>
      <c r="X234" s="166">
        <f t="shared" si="34"/>
        <v>1732142.3103528314</v>
      </c>
    </row>
    <row r="235" spans="4:24">
      <c r="D235" s="9" t="s">
        <v>310</v>
      </c>
      <c r="E235" s="9" t="s">
        <v>2718</v>
      </c>
      <c r="F235" s="4" t="s">
        <v>537</v>
      </c>
      <c r="G235" s="9" t="s">
        <v>3370</v>
      </c>
      <c r="H235" s="164">
        <v>481213.25798857916</v>
      </c>
      <c r="I235" s="165">
        <v>1019368.6419944199</v>
      </c>
      <c r="J235" s="165">
        <v>305465.38863746711</v>
      </c>
      <c r="K235" s="165">
        <v>754565.69918979297</v>
      </c>
      <c r="L235" s="177">
        <f t="shared" si="35"/>
        <v>786678.64662604628</v>
      </c>
      <c r="M235" s="166">
        <f t="shared" si="36"/>
        <v>1773934.3411842128</v>
      </c>
      <c r="N235" s="189">
        <f>INDEX('CHIRP Payment Calc'!AM:AM,MATCH(F235,'CHIRP Payment Calc'!C:C,0))</f>
        <v>1.64</v>
      </c>
      <c r="O235" s="189">
        <f>INDEX('CHIRP Payment Calc'!AL:AL,MATCH(FeeCalc!F235,'CHIRP Payment Calc'!C:C,0))</f>
        <v>1.4</v>
      </c>
      <c r="P235" s="164">
        <f t="shared" si="33"/>
        <v>3773661.0581246139</v>
      </c>
      <c r="Q235" s="165">
        <f t="shared" si="37"/>
        <v>135212.29274151067</v>
      </c>
      <c r="R235" s="165">
        <f t="shared" si="38"/>
        <v>99405.65209986105</v>
      </c>
      <c r="S235" s="165">
        <f t="shared" si="39"/>
        <v>234617.94484137173</v>
      </c>
      <c r="T235" s="165">
        <f t="shared" si="40"/>
        <v>837336.59745492809</v>
      </c>
      <c r="U235" s="165">
        <f t="shared" si="41"/>
        <v>532939.6142185597</v>
      </c>
      <c r="V235" s="165">
        <f t="shared" si="42"/>
        <v>1514181.53718004</v>
      </c>
      <c r="W235" s="165">
        <f t="shared" si="43"/>
        <v>1123821.2541124576</v>
      </c>
      <c r="X235" s="166">
        <f t="shared" si="34"/>
        <v>1656760.8683310174</v>
      </c>
    </row>
    <row r="236" spans="4:24">
      <c r="D236" s="9" t="s">
        <v>310</v>
      </c>
      <c r="E236" s="9" t="s">
        <v>2718</v>
      </c>
      <c r="F236" s="4" t="s">
        <v>65</v>
      </c>
      <c r="G236" s="9" t="s">
        <v>66</v>
      </c>
      <c r="H236" s="164">
        <v>5854665.001753998</v>
      </c>
      <c r="I236" s="165">
        <v>4929936.4864601707</v>
      </c>
      <c r="J236" s="165">
        <v>4234516.0186908152</v>
      </c>
      <c r="K236" s="165">
        <v>6854529.0538161155</v>
      </c>
      <c r="L236" s="177">
        <f t="shared" si="35"/>
        <v>10089181.020444814</v>
      </c>
      <c r="M236" s="166">
        <f t="shared" si="36"/>
        <v>11784465.540276285</v>
      </c>
      <c r="N236" s="189">
        <f>INDEX('CHIRP Payment Calc'!AM:AM,MATCH(F236,'CHIRP Payment Calc'!C:C,0))</f>
        <v>2.46</v>
      </c>
      <c r="O236" s="189">
        <f>INDEX('CHIRP Payment Calc'!AL:AL,MATCH(FeeCalc!F236,'CHIRP Payment Calc'!C:C,0))</f>
        <v>1.6099999999999999</v>
      </c>
      <c r="P236" s="164">
        <f t="shared" si="33"/>
        <v>43792374.830139056</v>
      </c>
      <c r="Q236" s="165">
        <f t="shared" si="37"/>
        <v>1362897.8617847781</v>
      </c>
      <c r="R236" s="165">
        <f t="shared" si="38"/>
        <v>1369321.3520823417</v>
      </c>
      <c r="S236" s="165">
        <f t="shared" si="39"/>
        <v>2732219.2138671195</v>
      </c>
      <c r="T236" s="165">
        <f t="shared" si="40"/>
        <v>15281141.543039614</v>
      </c>
      <c r="U236" s="165">
        <f t="shared" si="41"/>
        <v>11081818.516999368</v>
      </c>
      <c r="V236" s="165">
        <f t="shared" si="42"/>
        <v>8421429.9662608746</v>
      </c>
      <c r="W236" s="165">
        <f t="shared" si="43"/>
        <v>11740204.017706325</v>
      </c>
      <c r="X236" s="166">
        <f t="shared" si="34"/>
        <v>22822022.534705691</v>
      </c>
    </row>
    <row r="237" spans="4:24">
      <c r="D237" s="9" t="s">
        <v>310</v>
      </c>
      <c r="E237" s="9" t="s">
        <v>2718</v>
      </c>
      <c r="F237" s="4" t="s">
        <v>1504</v>
      </c>
      <c r="G237" s="9" t="s">
        <v>3500</v>
      </c>
      <c r="H237" s="164">
        <v>54518.373911736955</v>
      </c>
      <c r="I237" s="165">
        <v>0</v>
      </c>
      <c r="J237" s="165">
        <v>57712.590267306776</v>
      </c>
      <c r="K237" s="165">
        <v>8237.1025511019234</v>
      </c>
      <c r="L237" s="177">
        <f t="shared" si="35"/>
        <v>112230.96417904373</v>
      </c>
      <c r="M237" s="166">
        <f t="shared" si="36"/>
        <v>8237.1025511019234</v>
      </c>
      <c r="N237" s="189">
        <f>INDEX('CHIRP Payment Calc'!AM:AM,MATCH(F237,'CHIRP Payment Calc'!C:C,0))</f>
        <v>3</v>
      </c>
      <c r="O237" s="189">
        <f>INDEX('CHIRP Payment Calc'!AL:AL,MATCH(FeeCalc!F237,'CHIRP Payment Calc'!C:C,0))</f>
        <v>0.79</v>
      </c>
      <c r="P237" s="164">
        <f t="shared" si="33"/>
        <v>343200.20355250174</v>
      </c>
      <c r="Q237" s="165">
        <f t="shared" si="37"/>
        <v>9978.1639254903184</v>
      </c>
      <c r="R237" s="165">
        <f t="shared" si="38"/>
        <v>11466.707350039844</v>
      </c>
      <c r="S237" s="165">
        <f t="shared" si="39"/>
        <v>21444.87127553016</v>
      </c>
      <c r="T237" s="165">
        <f t="shared" si="40"/>
        <v>173533.28566070119</v>
      </c>
      <c r="U237" s="165">
        <f t="shared" si="41"/>
        <v>184189.11787438334</v>
      </c>
      <c r="V237" s="165">
        <f t="shared" si="42"/>
        <v>0</v>
      </c>
      <c r="W237" s="165">
        <f t="shared" si="43"/>
        <v>6922.6712929473615</v>
      </c>
      <c r="X237" s="166">
        <f t="shared" si="34"/>
        <v>191111.78916733072</v>
      </c>
    </row>
    <row r="238" spans="4:24">
      <c r="D238" s="9" t="s">
        <v>310</v>
      </c>
      <c r="E238" s="9" t="s">
        <v>2718</v>
      </c>
      <c r="F238" s="4" t="s">
        <v>68</v>
      </c>
      <c r="G238" s="9" t="s">
        <v>3536</v>
      </c>
      <c r="H238" s="164">
        <v>2099816.8905231589</v>
      </c>
      <c r="I238" s="165">
        <v>2794194.3402783927</v>
      </c>
      <c r="J238" s="165">
        <v>2897136.2627851451</v>
      </c>
      <c r="K238" s="165">
        <v>1827800.9576554883</v>
      </c>
      <c r="L238" s="177">
        <f t="shared" si="35"/>
        <v>4996953.153308304</v>
      </c>
      <c r="M238" s="166">
        <f t="shared" si="36"/>
        <v>4621995.2979338812</v>
      </c>
      <c r="N238" s="189">
        <f>INDEX('CHIRP Payment Calc'!AM:AM,MATCH(F238,'CHIRP Payment Calc'!C:C,0))</f>
        <v>2.23</v>
      </c>
      <c r="O238" s="189">
        <f>INDEX('CHIRP Payment Calc'!AL:AL,MATCH(FeeCalc!F238,'CHIRP Payment Calc'!C:C,0))</f>
        <v>2.19</v>
      </c>
      <c r="P238" s="164">
        <f t="shared" si="33"/>
        <v>21265375.234352715</v>
      </c>
      <c r="Q238" s="165">
        <f t="shared" si="37"/>
        <v>659000.47011871473</v>
      </c>
      <c r="R238" s="165">
        <f t="shared" si="38"/>
        <v>667882.84871976974</v>
      </c>
      <c r="S238" s="165">
        <f t="shared" si="39"/>
        <v>1326883.3188384846</v>
      </c>
      <c r="T238" s="165">
        <f t="shared" si="40"/>
        <v>4968267.0194871556</v>
      </c>
      <c r="U238" s="165">
        <f t="shared" si="41"/>
        <v>6872993.4744796529</v>
      </c>
      <c r="V238" s="165">
        <f t="shared" si="42"/>
        <v>6492610.7217078833</v>
      </c>
      <c r="W238" s="165">
        <f t="shared" si="43"/>
        <v>4258387.3375165099</v>
      </c>
      <c r="X238" s="166">
        <f t="shared" si="34"/>
        <v>11131380.811996162</v>
      </c>
    </row>
    <row r="239" spans="4:24">
      <c r="D239" s="9" t="s">
        <v>310</v>
      </c>
      <c r="E239" s="9" t="s">
        <v>2718</v>
      </c>
      <c r="F239" s="4" t="s">
        <v>1523</v>
      </c>
      <c r="G239" s="9" t="s">
        <v>3138</v>
      </c>
      <c r="H239" s="164">
        <v>0</v>
      </c>
      <c r="I239" s="165">
        <v>92442.546582278723</v>
      </c>
      <c r="J239" s="165">
        <v>0</v>
      </c>
      <c r="K239" s="165">
        <v>33589.30354976673</v>
      </c>
      <c r="L239" s="177">
        <f t="shared" si="35"/>
        <v>0</v>
      </c>
      <c r="M239" s="166">
        <f t="shared" si="36"/>
        <v>126031.85013204545</v>
      </c>
      <c r="N239" s="189">
        <f>INDEX('CHIRP Payment Calc'!AM:AM,MATCH(F239,'CHIRP Payment Calc'!C:C,0))</f>
        <v>1.2</v>
      </c>
      <c r="O239" s="189">
        <f>INDEX('CHIRP Payment Calc'!AL:AL,MATCH(FeeCalc!F239,'CHIRP Payment Calc'!C:C,0))</f>
        <v>0.79</v>
      </c>
      <c r="P239" s="164">
        <f t="shared" si="33"/>
        <v>99565.161604315916</v>
      </c>
      <c r="Q239" s="165">
        <f t="shared" si="37"/>
        <v>4455.3874572944414</v>
      </c>
      <c r="R239" s="165">
        <f t="shared" si="38"/>
        <v>1693.7584981478121</v>
      </c>
      <c r="S239" s="165">
        <f t="shared" si="39"/>
        <v>6149.1459554422536</v>
      </c>
      <c r="T239" s="165">
        <f t="shared" si="40"/>
        <v>0</v>
      </c>
      <c r="U239" s="165">
        <f t="shared" si="41"/>
        <v>0</v>
      </c>
      <c r="V239" s="165">
        <f t="shared" si="42"/>
        <v>77484.999257294636</v>
      </c>
      <c r="W239" s="165">
        <f t="shared" si="43"/>
        <v>28229.308302463534</v>
      </c>
      <c r="X239" s="166">
        <f t="shared" si="34"/>
        <v>28229.308302463534</v>
      </c>
    </row>
    <row r="240" spans="4:24">
      <c r="D240" s="9" t="s">
        <v>310</v>
      </c>
      <c r="E240" s="9" t="s">
        <v>2718</v>
      </c>
      <c r="F240" s="4" t="s">
        <v>460</v>
      </c>
      <c r="G240" s="9" t="s">
        <v>3501</v>
      </c>
      <c r="H240" s="164">
        <v>2803260.3860861561</v>
      </c>
      <c r="I240" s="165">
        <v>2377689.3093067962</v>
      </c>
      <c r="J240" s="165">
        <v>2535730.129331972</v>
      </c>
      <c r="K240" s="165">
        <v>7133134.2571234135</v>
      </c>
      <c r="L240" s="177">
        <f t="shared" si="35"/>
        <v>5338990.5154181281</v>
      </c>
      <c r="M240" s="166">
        <f t="shared" si="36"/>
        <v>9510823.5664302092</v>
      </c>
      <c r="N240" s="189">
        <f>INDEX('CHIRP Payment Calc'!AM:AM,MATCH(F240,'CHIRP Payment Calc'!C:C,0))</f>
        <v>2.04</v>
      </c>
      <c r="O240" s="189">
        <f>INDEX('CHIRP Payment Calc'!AL:AL,MATCH(FeeCalc!F240,'CHIRP Payment Calc'!C:C,0))</f>
        <v>2.35</v>
      </c>
      <c r="P240" s="164">
        <f t="shared" si="33"/>
        <v>33241976.032563973</v>
      </c>
      <c r="Q240" s="165">
        <f t="shared" si="37"/>
        <v>689769.45486258564</v>
      </c>
      <c r="R240" s="165">
        <f t="shared" si="38"/>
        <v>1400154.5724304626</v>
      </c>
      <c r="S240" s="165">
        <f t="shared" si="39"/>
        <v>2089924.0272930483</v>
      </c>
      <c r="T240" s="165">
        <f t="shared" si="40"/>
        <v>6067534.4165684441</v>
      </c>
      <c r="U240" s="165">
        <f t="shared" si="41"/>
        <v>5503073.8976991735</v>
      </c>
      <c r="V240" s="165">
        <f t="shared" si="42"/>
        <v>5928456.1027808711</v>
      </c>
      <c r="W240" s="165">
        <f t="shared" si="43"/>
        <v>17832835.642808534</v>
      </c>
      <c r="X240" s="166">
        <f t="shared" si="34"/>
        <v>23335909.540507708</v>
      </c>
    </row>
    <row r="241" spans="4:24">
      <c r="D241" s="9" t="s">
        <v>310</v>
      </c>
      <c r="E241" s="9" t="s">
        <v>2718</v>
      </c>
      <c r="F241" s="4" t="s">
        <v>17</v>
      </c>
      <c r="G241" s="9" t="s">
        <v>3494</v>
      </c>
      <c r="H241" s="164">
        <v>1770118.0933082011</v>
      </c>
      <c r="I241" s="165">
        <v>1442896.5285003704</v>
      </c>
      <c r="J241" s="165">
        <v>996247.1355827786</v>
      </c>
      <c r="K241" s="165">
        <v>1033087.1654434295</v>
      </c>
      <c r="L241" s="177">
        <f t="shared" si="35"/>
        <v>2766365.2288909797</v>
      </c>
      <c r="M241" s="166">
        <f t="shared" si="36"/>
        <v>2475983.6939437999</v>
      </c>
      <c r="N241" s="189">
        <f>INDEX('CHIRP Payment Calc'!AM:AM,MATCH(F241,'CHIRP Payment Calc'!C:C,0))</f>
        <v>2.5499999999999998</v>
      </c>
      <c r="O241" s="189">
        <f>INDEX('CHIRP Payment Calc'!AL:AL,MATCH(FeeCalc!F241,'CHIRP Payment Calc'!C:C,0))</f>
        <v>2.6</v>
      </c>
      <c r="P241" s="164">
        <f t="shared" si="33"/>
        <v>13491788.937925877</v>
      </c>
      <c r="Q241" s="165">
        <f t="shared" si="37"/>
        <v>504251.03070782003</v>
      </c>
      <c r="R241" s="165">
        <f t="shared" si="38"/>
        <v>333603.62718440441</v>
      </c>
      <c r="S241" s="165">
        <f t="shared" si="39"/>
        <v>837854.65789222438</v>
      </c>
      <c r="T241" s="165">
        <f t="shared" si="40"/>
        <v>4789178.9261919493</v>
      </c>
      <c r="U241" s="165">
        <f t="shared" si="41"/>
        <v>2702585.3146128571</v>
      </c>
      <c r="V241" s="165">
        <f t="shared" si="42"/>
        <v>3980404.216552746</v>
      </c>
      <c r="W241" s="165">
        <f t="shared" si="43"/>
        <v>2857475.1384605495</v>
      </c>
      <c r="X241" s="166">
        <f t="shared" si="34"/>
        <v>5560060.4530734066</v>
      </c>
    </row>
    <row r="242" spans="4:24">
      <c r="D242" s="9" t="s">
        <v>310</v>
      </c>
      <c r="E242" s="9" t="s">
        <v>2718</v>
      </c>
      <c r="F242" s="4" t="s">
        <v>808</v>
      </c>
      <c r="G242" s="9" t="s">
        <v>2982</v>
      </c>
      <c r="H242" s="164">
        <v>2185450.7679566317</v>
      </c>
      <c r="I242" s="165">
        <v>5225791.1714263298</v>
      </c>
      <c r="J242" s="165">
        <v>651981.8002909479</v>
      </c>
      <c r="K242" s="165">
        <v>2369220.8873826722</v>
      </c>
      <c r="L242" s="177">
        <f t="shared" si="35"/>
        <v>2837432.5682475795</v>
      </c>
      <c r="M242" s="166">
        <f t="shared" si="36"/>
        <v>7595012.0588090019</v>
      </c>
      <c r="N242" s="189">
        <f>INDEX('CHIRP Payment Calc'!AM:AM,MATCH(F242,'CHIRP Payment Calc'!C:C,0))</f>
        <v>1.72</v>
      </c>
      <c r="O242" s="189">
        <f>INDEX('CHIRP Payment Calc'!AL:AL,MATCH(FeeCalc!F242,'CHIRP Payment Calc'!C:C,0))</f>
        <v>1.3599999999999999</v>
      </c>
      <c r="P242" s="164">
        <f t="shared" si="33"/>
        <v>15209600.417366078</v>
      </c>
      <c r="Q242" s="165">
        <f t="shared" si="37"/>
        <v>662915.59740737372</v>
      </c>
      <c r="R242" s="165">
        <f t="shared" si="38"/>
        <v>277247.81510686374</v>
      </c>
      <c r="S242" s="165">
        <f t="shared" si="39"/>
        <v>940163.41251423745</v>
      </c>
      <c r="T242" s="165">
        <f t="shared" si="40"/>
        <v>3988302.7277298742</v>
      </c>
      <c r="U242" s="165">
        <f t="shared" si="41"/>
        <v>1192987.9750004578</v>
      </c>
      <c r="V242" s="165">
        <f t="shared" si="42"/>
        <v>7540664.1837027129</v>
      </c>
      <c r="W242" s="165">
        <f t="shared" si="43"/>
        <v>3427808.9434472704</v>
      </c>
      <c r="X242" s="166">
        <f t="shared" si="34"/>
        <v>4620796.9184477283</v>
      </c>
    </row>
    <row r="243" spans="4:24">
      <c r="D243" s="9" t="s">
        <v>310</v>
      </c>
      <c r="E243" s="9" t="s">
        <v>2718</v>
      </c>
      <c r="F243" s="4" t="s">
        <v>1462</v>
      </c>
      <c r="G243" s="9" t="s">
        <v>3134</v>
      </c>
      <c r="H243" s="164">
        <v>0</v>
      </c>
      <c r="I243" s="165">
        <v>4693.0774788562276</v>
      </c>
      <c r="J243" s="165">
        <v>0</v>
      </c>
      <c r="K243" s="165">
        <v>0</v>
      </c>
      <c r="L243" s="177">
        <f t="shared" si="35"/>
        <v>0</v>
      </c>
      <c r="M243" s="166">
        <f t="shared" si="36"/>
        <v>4693.0774788562276</v>
      </c>
      <c r="N243" s="189">
        <f>INDEX('CHIRP Payment Calc'!AM:AM,MATCH(F243,'CHIRP Payment Calc'!C:C,0))</f>
        <v>1.2</v>
      </c>
      <c r="O243" s="189">
        <f>INDEX('CHIRP Payment Calc'!AL:AL,MATCH(FeeCalc!F243,'CHIRP Payment Calc'!C:C,0))</f>
        <v>0.79</v>
      </c>
      <c r="P243" s="164">
        <f t="shared" si="33"/>
        <v>3707.5312082964201</v>
      </c>
      <c r="Q243" s="165">
        <f t="shared" si="37"/>
        <v>226.18890660694342</v>
      </c>
      <c r="R243" s="165">
        <f t="shared" si="38"/>
        <v>0</v>
      </c>
      <c r="S243" s="165">
        <f t="shared" si="39"/>
        <v>226.18890660694342</v>
      </c>
      <c r="T243" s="165">
        <f t="shared" si="40"/>
        <v>0</v>
      </c>
      <c r="U243" s="165">
        <f t="shared" si="41"/>
        <v>0</v>
      </c>
      <c r="V243" s="165">
        <f t="shared" si="42"/>
        <v>3933.7201149033635</v>
      </c>
      <c r="W243" s="165">
        <f t="shared" si="43"/>
        <v>0</v>
      </c>
      <c r="X243" s="166">
        <f t="shared" si="34"/>
        <v>0</v>
      </c>
    </row>
    <row r="244" spans="4:24">
      <c r="D244" s="9" t="s">
        <v>310</v>
      </c>
      <c r="E244" s="9" t="s">
        <v>2718</v>
      </c>
      <c r="F244" s="4" t="s">
        <v>899</v>
      </c>
      <c r="G244" s="9" t="s">
        <v>900</v>
      </c>
      <c r="H244" s="164">
        <v>8149535.1115849121</v>
      </c>
      <c r="I244" s="165">
        <v>11245427.639853947</v>
      </c>
      <c r="J244" s="165">
        <v>4213644.2713228175</v>
      </c>
      <c r="K244" s="165">
        <v>7576958.1124143787</v>
      </c>
      <c r="L244" s="177">
        <f t="shared" si="35"/>
        <v>12363179.38290773</v>
      </c>
      <c r="M244" s="166">
        <f t="shared" si="36"/>
        <v>18822385.752268326</v>
      </c>
      <c r="N244" s="189">
        <f>INDEX('CHIRP Payment Calc'!AM:AM,MATCH(F244,'CHIRP Payment Calc'!C:C,0))</f>
        <v>1.2</v>
      </c>
      <c r="O244" s="189">
        <f>INDEX('CHIRP Payment Calc'!AL:AL,MATCH(FeeCalc!F244,'CHIRP Payment Calc'!C:C,0))</f>
        <v>1.38</v>
      </c>
      <c r="P244" s="164">
        <f t="shared" si="33"/>
        <v>40810707.597619563</v>
      </c>
      <c r="Q244" s="165">
        <f t="shared" si="37"/>
        <v>1543387.3802883497</v>
      </c>
      <c r="R244" s="165">
        <f t="shared" si="38"/>
        <v>990164.38217356754</v>
      </c>
      <c r="S244" s="165">
        <f t="shared" si="39"/>
        <v>2533551.7624619175</v>
      </c>
      <c r="T244" s="165">
        <f t="shared" si="40"/>
        <v>10376065.924564343</v>
      </c>
      <c r="U244" s="165">
        <f t="shared" si="41"/>
        <v>5379120.3463695543</v>
      </c>
      <c r="V244" s="165">
        <f t="shared" si="42"/>
        <v>16465453.732624346</v>
      </c>
      <c r="W244" s="165">
        <f t="shared" si="43"/>
        <v>11123619.356523236</v>
      </c>
      <c r="X244" s="166">
        <f t="shared" si="34"/>
        <v>16502739.702892791</v>
      </c>
    </row>
    <row r="245" spans="4:24">
      <c r="D245" s="9" t="s">
        <v>310</v>
      </c>
      <c r="E245" s="9" t="s">
        <v>2718</v>
      </c>
      <c r="F245" s="4" t="s">
        <v>1624</v>
      </c>
      <c r="G245" s="9" t="s">
        <v>3460</v>
      </c>
      <c r="H245" s="164">
        <v>2446179.4959329879</v>
      </c>
      <c r="I245" s="165">
        <v>2731457.562853531</v>
      </c>
      <c r="J245" s="165">
        <v>689275.44437505386</v>
      </c>
      <c r="K245" s="165">
        <v>2926882.4312747894</v>
      </c>
      <c r="L245" s="177">
        <f t="shared" si="35"/>
        <v>3135454.9403080419</v>
      </c>
      <c r="M245" s="166">
        <f t="shared" si="36"/>
        <v>5658339.9941283204</v>
      </c>
      <c r="N245" s="189">
        <f>INDEX('CHIRP Payment Calc'!AM:AM,MATCH(F245,'CHIRP Payment Calc'!C:C,0))</f>
        <v>1.92</v>
      </c>
      <c r="O245" s="189">
        <f>INDEX('CHIRP Payment Calc'!AL:AL,MATCH(FeeCalc!F245,'CHIRP Payment Calc'!C:C,0))</f>
        <v>2.35</v>
      </c>
      <c r="P245" s="164">
        <f t="shared" si="33"/>
        <v>19317172.471592993</v>
      </c>
      <c r="Q245" s="165">
        <f t="shared" si="37"/>
        <v>678139.43716879073</v>
      </c>
      <c r="R245" s="165">
        <f t="shared" si="38"/>
        <v>523505.2702146293</v>
      </c>
      <c r="S245" s="165">
        <f t="shared" si="39"/>
        <v>1201644.7073834201</v>
      </c>
      <c r="T245" s="165">
        <f t="shared" si="40"/>
        <v>4983198.5487441234</v>
      </c>
      <c r="U245" s="165">
        <f t="shared" si="41"/>
        <v>1407881.7587235144</v>
      </c>
      <c r="V245" s="165">
        <f t="shared" si="42"/>
        <v>6810530.7933218013</v>
      </c>
      <c r="W245" s="165">
        <f t="shared" si="43"/>
        <v>7317206.0781869739</v>
      </c>
      <c r="X245" s="166">
        <f t="shared" si="34"/>
        <v>8725087.8369104881</v>
      </c>
    </row>
    <row r="246" spans="4:24">
      <c r="D246" s="9" t="s">
        <v>310</v>
      </c>
      <c r="E246" s="9" t="s">
        <v>2718</v>
      </c>
      <c r="F246" s="4" t="s">
        <v>441</v>
      </c>
      <c r="G246" s="9" t="s">
        <v>3555</v>
      </c>
      <c r="H246" s="164">
        <v>559843.46789938514</v>
      </c>
      <c r="I246" s="165">
        <v>79211.231540850495</v>
      </c>
      <c r="J246" s="165">
        <v>83744.180575412203</v>
      </c>
      <c r="K246" s="165">
        <v>14765.240637349336</v>
      </c>
      <c r="L246" s="177">
        <f t="shared" si="35"/>
        <v>643587.64847479737</v>
      </c>
      <c r="M246" s="166">
        <f t="shared" si="36"/>
        <v>93976.472178199823</v>
      </c>
      <c r="N246" s="189">
        <f>INDEX('CHIRP Payment Calc'!AM:AM,MATCH(F246,'CHIRP Payment Calc'!C:C,0))</f>
        <v>1.2</v>
      </c>
      <c r="O246" s="189">
        <f>INDEX('CHIRP Payment Calc'!AL:AL,MATCH(FeeCalc!F246,'CHIRP Payment Calc'!C:C,0))</f>
        <v>0.79</v>
      </c>
      <c r="P246" s="164">
        <f t="shared" si="33"/>
        <v>846546.59119053464</v>
      </c>
      <c r="Q246" s="165">
        <f t="shared" si="37"/>
        <v>44803.575042759374</v>
      </c>
      <c r="R246" s="165">
        <f t="shared" si="38"/>
        <v>7158.9929868511044</v>
      </c>
      <c r="S246" s="165">
        <f t="shared" si="39"/>
        <v>51962.568029610477</v>
      </c>
      <c r="T246" s="165">
        <f t="shared" si="40"/>
        <v>712798.04931486701</v>
      </c>
      <c r="U246" s="165">
        <f t="shared" si="41"/>
        <v>106907.46456435601</v>
      </c>
      <c r="V246" s="165">
        <f t="shared" si="42"/>
        <v>66394.560124426411</v>
      </c>
      <c r="W246" s="165">
        <f t="shared" si="43"/>
        <v>12409.08521649572</v>
      </c>
      <c r="X246" s="166">
        <f t="shared" si="34"/>
        <v>119316.54978085172</v>
      </c>
    </row>
    <row r="247" spans="4:24">
      <c r="D247" s="9" t="s">
        <v>227</v>
      </c>
      <c r="E247" s="9" t="s">
        <v>3069</v>
      </c>
      <c r="F247" s="4" t="s">
        <v>1216</v>
      </c>
      <c r="G247" s="9" t="s">
        <v>3322</v>
      </c>
      <c r="H247" s="164">
        <v>0</v>
      </c>
      <c r="I247" s="165">
        <v>1144442.0445815083</v>
      </c>
      <c r="J247" s="165">
        <v>0</v>
      </c>
      <c r="K247" s="165">
        <v>0</v>
      </c>
      <c r="L247" s="177">
        <f t="shared" si="35"/>
        <v>0</v>
      </c>
      <c r="M247" s="166">
        <f t="shared" si="36"/>
        <v>1144442.0445815083</v>
      </c>
      <c r="N247" s="189">
        <f>INDEX('CHIRP Payment Calc'!AM:AM,MATCH(F247,'CHIRP Payment Calc'!C:C,0))</f>
        <v>0</v>
      </c>
      <c r="O247" s="189">
        <f>INDEX('CHIRP Payment Calc'!AL:AL,MATCH(FeeCalc!F247,'CHIRP Payment Calc'!C:C,0))</f>
        <v>0.34</v>
      </c>
      <c r="P247" s="164">
        <f t="shared" si="33"/>
        <v>389110.29515771283</v>
      </c>
      <c r="Q247" s="165">
        <f t="shared" si="37"/>
        <v>23738.824373016963</v>
      </c>
      <c r="R247" s="165">
        <f t="shared" si="38"/>
        <v>0</v>
      </c>
      <c r="S247" s="165">
        <f t="shared" si="39"/>
        <v>23738.824373016963</v>
      </c>
      <c r="T247" s="165">
        <f t="shared" si="40"/>
        <v>0</v>
      </c>
      <c r="U247" s="165">
        <f t="shared" si="41"/>
        <v>0</v>
      </c>
      <c r="V247" s="165">
        <f t="shared" si="42"/>
        <v>412849.11953072977</v>
      </c>
      <c r="W247" s="165">
        <f t="shared" si="43"/>
        <v>0</v>
      </c>
      <c r="X247" s="166">
        <f t="shared" si="34"/>
        <v>0</v>
      </c>
    </row>
    <row r="248" spans="4:24">
      <c r="D248" s="9" t="s">
        <v>227</v>
      </c>
      <c r="E248" s="9" t="s">
        <v>3069</v>
      </c>
      <c r="F248" s="4" t="s">
        <v>1299</v>
      </c>
      <c r="G248" s="9" t="s">
        <v>3096</v>
      </c>
      <c r="H248" s="164">
        <v>0</v>
      </c>
      <c r="I248" s="165">
        <v>935777.31862968474</v>
      </c>
      <c r="J248" s="165">
        <v>0</v>
      </c>
      <c r="K248" s="165">
        <v>0</v>
      </c>
      <c r="L248" s="177">
        <f t="shared" si="35"/>
        <v>0</v>
      </c>
      <c r="M248" s="166">
        <f t="shared" si="36"/>
        <v>935777.31862968474</v>
      </c>
      <c r="N248" s="189">
        <f>INDEX('CHIRP Payment Calc'!AM:AM,MATCH(F248,'CHIRP Payment Calc'!C:C,0))</f>
        <v>0</v>
      </c>
      <c r="O248" s="189">
        <f>INDEX('CHIRP Payment Calc'!AL:AL,MATCH(FeeCalc!F248,'CHIRP Payment Calc'!C:C,0))</f>
        <v>0.34</v>
      </c>
      <c r="P248" s="164">
        <f t="shared" si="33"/>
        <v>318164.28833409282</v>
      </c>
      <c r="Q248" s="165">
        <f t="shared" si="37"/>
        <v>19410.553399692668</v>
      </c>
      <c r="R248" s="165">
        <f t="shared" si="38"/>
        <v>0</v>
      </c>
      <c r="S248" s="165">
        <f t="shared" si="39"/>
        <v>19410.553399692668</v>
      </c>
      <c r="T248" s="165">
        <f t="shared" si="40"/>
        <v>0</v>
      </c>
      <c r="U248" s="165">
        <f t="shared" si="41"/>
        <v>0</v>
      </c>
      <c r="V248" s="165">
        <f t="shared" si="42"/>
        <v>337574.84173378552</v>
      </c>
      <c r="W248" s="165">
        <f t="shared" si="43"/>
        <v>0</v>
      </c>
      <c r="X248" s="166">
        <f t="shared" si="34"/>
        <v>0</v>
      </c>
    </row>
    <row r="249" spans="4:24">
      <c r="D249" s="9" t="s">
        <v>227</v>
      </c>
      <c r="E249" s="9" t="s">
        <v>3069</v>
      </c>
      <c r="F249" s="4" t="s">
        <v>1302</v>
      </c>
      <c r="G249" s="9" t="s">
        <v>3333</v>
      </c>
      <c r="H249" s="164">
        <v>0</v>
      </c>
      <c r="I249" s="165">
        <v>1451284.4245904956</v>
      </c>
      <c r="J249" s="165">
        <v>0</v>
      </c>
      <c r="K249" s="165">
        <v>0</v>
      </c>
      <c r="L249" s="177">
        <f t="shared" si="35"/>
        <v>0</v>
      </c>
      <c r="M249" s="166">
        <f t="shared" si="36"/>
        <v>1451284.4245904956</v>
      </c>
      <c r="N249" s="189">
        <f>INDEX('CHIRP Payment Calc'!AM:AM,MATCH(F249,'CHIRP Payment Calc'!C:C,0))</f>
        <v>0</v>
      </c>
      <c r="O249" s="189">
        <f>INDEX('CHIRP Payment Calc'!AL:AL,MATCH(FeeCalc!F249,'CHIRP Payment Calc'!C:C,0))</f>
        <v>0.34</v>
      </c>
      <c r="P249" s="164">
        <f t="shared" si="33"/>
        <v>493436.70436076855</v>
      </c>
      <c r="Q249" s="165">
        <f t="shared" si="37"/>
        <v>30103.565518030977</v>
      </c>
      <c r="R249" s="165">
        <f t="shared" si="38"/>
        <v>0</v>
      </c>
      <c r="S249" s="165">
        <f t="shared" si="39"/>
        <v>30103.565518030977</v>
      </c>
      <c r="T249" s="165">
        <f t="shared" si="40"/>
        <v>0</v>
      </c>
      <c r="U249" s="165">
        <f t="shared" si="41"/>
        <v>0</v>
      </c>
      <c r="V249" s="165">
        <f t="shared" si="42"/>
        <v>523540.26987879956</v>
      </c>
      <c r="W249" s="165">
        <f t="shared" si="43"/>
        <v>0</v>
      </c>
      <c r="X249" s="166">
        <f t="shared" si="34"/>
        <v>0</v>
      </c>
    </row>
    <row r="250" spans="4:24">
      <c r="D250" s="9" t="s">
        <v>227</v>
      </c>
      <c r="E250" s="9" t="s">
        <v>3069</v>
      </c>
      <c r="F250" s="4" t="s">
        <v>1284</v>
      </c>
      <c r="G250" s="9" t="s">
        <v>3321</v>
      </c>
      <c r="H250" s="164">
        <v>0</v>
      </c>
      <c r="I250" s="165">
        <v>1117307.8508506345</v>
      </c>
      <c r="J250" s="165">
        <v>0</v>
      </c>
      <c r="K250" s="165">
        <v>0</v>
      </c>
      <c r="L250" s="177">
        <f t="shared" si="35"/>
        <v>0</v>
      </c>
      <c r="M250" s="166">
        <f t="shared" si="36"/>
        <v>1117307.8508506345</v>
      </c>
      <c r="N250" s="189">
        <f>INDEX('CHIRP Payment Calc'!AM:AM,MATCH(F250,'CHIRP Payment Calc'!C:C,0))</f>
        <v>0</v>
      </c>
      <c r="O250" s="189">
        <f>INDEX('CHIRP Payment Calc'!AL:AL,MATCH(FeeCalc!F250,'CHIRP Payment Calc'!C:C,0))</f>
        <v>0.34</v>
      </c>
      <c r="P250" s="164">
        <f t="shared" si="33"/>
        <v>379884.66928921576</v>
      </c>
      <c r="Q250" s="165">
        <f t="shared" si="37"/>
        <v>23175.987781570191</v>
      </c>
      <c r="R250" s="165">
        <f t="shared" si="38"/>
        <v>0</v>
      </c>
      <c r="S250" s="165">
        <f t="shared" si="39"/>
        <v>23175.987781570191</v>
      </c>
      <c r="T250" s="165">
        <f t="shared" si="40"/>
        <v>0</v>
      </c>
      <c r="U250" s="165">
        <f t="shared" si="41"/>
        <v>0</v>
      </c>
      <c r="V250" s="165">
        <f t="shared" si="42"/>
        <v>403060.65707078594</v>
      </c>
      <c r="W250" s="165">
        <f t="shared" si="43"/>
        <v>0</v>
      </c>
      <c r="X250" s="166">
        <f t="shared" si="34"/>
        <v>0</v>
      </c>
    </row>
    <row r="251" spans="4:24">
      <c r="D251" s="9" t="s">
        <v>227</v>
      </c>
      <c r="E251" s="9" t="s">
        <v>2768</v>
      </c>
      <c r="F251" s="4" t="s">
        <v>549</v>
      </c>
      <c r="G251" s="9" t="s">
        <v>3344</v>
      </c>
      <c r="H251" s="164">
        <v>443757.51262415596</v>
      </c>
      <c r="I251" s="165">
        <v>6115.9740460557023</v>
      </c>
      <c r="J251" s="165">
        <v>47610.229453158863</v>
      </c>
      <c r="K251" s="165">
        <v>436.75852076220019</v>
      </c>
      <c r="L251" s="177">
        <f t="shared" si="35"/>
        <v>491367.74207731482</v>
      </c>
      <c r="M251" s="166">
        <f t="shared" si="36"/>
        <v>6552.7325668179028</v>
      </c>
      <c r="N251" s="189">
        <f>INDEX('CHIRP Payment Calc'!AM:AM,MATCH(F251,'CHIRP Payment Calc'!C:C,0))</f>
        <v>0.31999999999999995</v>
      </c>
      <c r="O251" s="189">
        <f>INDEX('CHIRP Payment Calc'!AL:AL,MATCH(FeeCalc!F251,'CHIRP Payment Calc'!C:C,0))</f>
        <v>0</v>
      </c>
      <c r="P251" s="164">
        <f t="shared" si="33"/>
        <v>157237.67746474073</v>
      </c>
      <c r="Q251" s="165">
        <f t="shared" si="37"/>
        <v>8663.2766390286142</v>
      </c>
      <c r="R251" s="165">
        <f t="shared" si="38"/>
        <v>972.46426117090448</v>
      </c>
      <c r="S251" s="165">
        <f t="shared" si="39"/>
        <v>9635.7409001995184</v>
      </c>
      <c r="T251" s="165">
        <f t="shared" si="40"/>
        <v>150665.68067875851</v>
      </c>
      <c r="U251" s="165">
        <f t="shared" si="41"/>
        <v>16207.737686181739</v>
      </c>
      <c r="V251" s="165">
        <f t="shared" si="42"/>
        <v>0</v>
      </c>
      <c r="W251" s="165">
        <f t="shared" si="43"/>
        <v>0</v>
      </c>
      <c r="X251" s="166">
        <f t="shared" si="34"/>
        <v>16207.737686181739</v>
      </c>
    </row>
    <row r="252" spans="4:24">
      <c r="D252" s="9" t="s">
        <v>227</v>
      </c>
      <c r="E252" s="9" t="s">
        <v>2768</v>
      </c>
      <c r="F252" s="4" t="s">
        <v>1070</v>
      </c>
      <c r="G252" s="9" t="s">
        <v>3383</v>
      </c>
      <c r="H252" s="164">
        <v>112565.9518577774</v>
      </c>
      <c r="I252" s="165">
        <v>3559.9419143851651</v>
      </c>
      <c r="J252" s="165">
        <v>27680.907349080106</v>
      </c>
      <c r="K252" s="165">
        <v>46602.594652507207</v>
      </c>
      <c r="L252" s="177">
        <f t="shared" si="35"/>
        <v>140246.85920685751</v>
      </c>
      <c r="M252" s="166">
        <f t="shared" si="36"/>
        <v>50162.53656689237</v>
      </c>
      <c r="N252" s="189">
        <f>INDEX('CHIRP Payment Calc'!AM:AM,MATCH(F252,'CHIRP Payment Calc'!C:C,0))</f>
        <v>0.49</v>
      </c>
      <c r="O252" s="189">
        <f>INDEX('CHIRP Payment Calc'!AL:AL,MATCH(FeeCalc!F252,'CHIRP Payment Calc'!C:C,0))</f>
        <v>0</v>
      </c>
      <c r="P252" s="164">
        <f t="shared" si="33"/>
        <v>68720.961011360181</v>
      </c>
      <c r="Q252" s="165">
        <f t="shared" si="37"/>
        <v>3365.0352186661839</v>
      </c>
      <c r="R252" s="165">
        <f t="shared" si="38"/>
        <v>865.76454900314377</v>
      </c>
      <c r="S252" s="165">
        <f t="shared" si="39"/>
        <v>4230.7997676693276</v>
      </c>
      <c r="T252" s="165">
        <f t="shared" si="40"/>
        <v>58522.351628977107</v>
      </c>
      <c r="U252" s="165">
        <f t="shared" si="41"/>
        <v>14429.409150052395</v>
      </c>
      <c r="V252" s="165">
        <f t="shared" si="42"/>
        <v>0</v>
      </c>
      <c r="W252" s="165">
        <f t="shared" si="43"/>
        <v>0</v>
      </c>
      <c r="X252" s="166">
        <f t="shared" si="34"/>
        <v>14429.409150052395</v>
      </c>
    </row>
    <row r="253" spans="4:24">
      <c r="D253" s="9" t="s">
        <v>227</v>
      </c>
      <c r="E253" s="9" t="s">
        <v>2768</v>
      </c>
      <c r="F253" s="4" t="s">
        <v>717</v>
      </c>
      <c r="G253" s="9" t="s">
        <v>2855</v>
      </c>
      <c r="H253" s="164">
        <v>87503.684201989774</v>
      </c>
      <c r="I253" s="165">
        <v>0</v>
      </c>
      <c r="J253" s="165">
        <v>12178.559335706384</v>
      </c>
      <c r="K253" s="165">
        <v>0</v>
      </c>
      <c r="L253" s="177">
        <f t="shared" si="35"/>
        <v>99682.243537696166</v>
      </c>
      <c r="M253" s="166">
        <f t="shared" si="36"/>
        <v>0</v>
      </c>
      <c r="N253" s="189">
        <f>INDEX('CHIRP Payment Calc'!AM:AM,MATCH(F253,'CHIRP Payment Calc'!C:C,0))</f>
        <v>0.28999999999999998</v>
      </c>
      <c r="O253" s="189">
        <f>INDEX('CHIRP Payment Calc'!AL:AL,MATCH(FeeCalc!F253,'CHIRP Payment Calc'!C:C,0))</f>
        <v>0</v>
      </c>
      <c r="P253" s="164">
        <f t="shared" si="33"/>
        <v>28907.850625931886</v>
      </c>
      <c r="Q253" s="165">
        <f t="shared" si="37"/>
        <v>1548.1421051121267</v>
      </c>
      <c r="R253" s="165">
        <f t="shared" si="38"/>
        <v>225.43290685243733</v>
      </c>
      <c r="S253" s="165">
        <f t="shared" si="39"/>
        <v>1773.5750119645641</v>
      </c>
      <c r="T253" s="165">
        <f t="shared" si="40"/>
        <v>26924.210523689158</v>
      </c>
      <c r="U253" s="165">
        <f t="shared" si="41"/>
        <v>3757.2151142072885</v>
      </c>
      <c r="V253" s="165">
        <f t="shared" si="42"/>
        <v>0</v>
      </c>
      <c r="W253" s="165">
        <f t="shared" si="43"/>
        <v>0</v>
      </c>
      <c r="X253" s="166">
        <f t="shared" si="34"/>
        <v>3757.2151142072885</v>
      </c>
    </row>
    <row r="254" spans="4:24">
      <c r="D254" s="9" t="s">
        <v>227</v>
      </c>
      <c r="E254" s="9" t="s">
        <v>2768</v>
      </c>
      <c r="F254" s="4" t="s">
        <v>1156</v>
      </c>
      <c r="G254" s="9" t="s">
        <v>3380</v>
      </c>
      <c r="H254" s="164">
        <v>3194013.569865813</v>
      </c>
      <c r="I254" s="165">
        <v>2868405.5014871908</v>
      </c>
      <c r="J254" s="165">
        <v>755735.97327999957</v>
      </c>
      <c r="K254" s="165">
        <v>525163.11310288718</v>
      </c>
      <c r="L254" s="177">
        <f t="shared" si="35"/>
        <v>3949749.5431458126</v>
      </c>
      <c r="M254" s="166">
        <f t="shared" si="36"/>
        <v>3393568.6145900781</v>
      </c>
      <c r="N254" s="189">
        <f>INDEX('CHIRP Payment Calc'!AM:AM,MATCH(F254,'CHIRP Payment Calc'!C:C,0))</f>
        <v>0.71</v>
      </c>
      <c r="O254" s="189">
        <f>INDEX('CHIRP Payment Calc'!AL:AL,MATCH(FeeCalc!F254,'CHIRP Payment Calc'!C:C,0))</f>
        <v>0</v>
      </c>
      <c r="P254" s="164">
        <f t="shared" si="33"/>
        <v>2804322.1756335269</v>
      </c>
      <c r="Q254" s="165">
        <f t="shared" si="37"/>
        <v>138350.77346394886</v>
      </c>
      <c r="R254" s="165">
        <f t="shared" si="38"/>
        <v>34249.311129497859</v>
      </c>
      <c r="S254" s="165">
        <f t="shared" si="39"/>
        <v>172600.08459344672</v>
      </c>
      <c r="T254" s="165">
        <f t="shared" si="40"/>
        <v>2406100.408068676</v>
      </c>
      <c r="U254" s="165">
        <f t="shared" si="41"/>
        <v>570821.85215829755</v>
      </c>
      <c r="V254" s="165">
        <f t="shared" si="42"/>
        <v>0</v>
      </c>
      <c r="W254" s="165">
        <f t="shared" si="43"/>
        <v>0</v>
      </c>
      <c r="X254" s="166">
        <f t="shared" si="34"/>
        <v>570821.85215829755</v>
      </c>
    </row>
    <row r="255" spans="4:24">
      <c r="D255" s="9" t="s">
        <v>227</v>
      </c>
      <c r="E255" s="9" t="s">
        <v>2768</v>
      </c>
      <c r="F255" s="4" t="s">
        <v>107</v>
      </c>
      <c r="G255" s="9" t="s">
        <v>3514</v>
      </c>
      <c r="H255" s="164">
        <v>720775.29527686001</v>
      </c>
      <c r="I255" s="165">
        <v>87848.5507072279</v>
      </c>
      <c r="J255" s="165">
        <v>80504.421461620863</v>
      </c>
      <c r="K255" s="165">
        <v>119258.75379926189</v>
      </c>
      <c r="L255" s="177">
        <f t="shared" si="35"/>
        <v>801279.71673848084</v>
      </c>
      <c r="M255" s="166">
        <f t="shared" si="36"/>
        <v>207107.30450648977</v>
      </c>
      <c r="N255" s="189">
        <f>INDEX('CHIRP Payment Calc'!AM:AM,MATCH(F255,'CHIRP Payment Calc'!C:C,0))</f>
        <v>0.31</v>
      </c>
      <c r="O255" s="189">
        <f>INDEX('CHIRP Payment Calc'!AL:AL,MATCH(FeeCalc!F255,'CHIRP Payment Calc'!C:C,0))</f>
        <v>0</v>
      </c>
      <c r="P255" s="164">
        <f t="shared" si="33"/>
        <v>248396.71218892906</v>
      </c>
      <c r="Q255" s="165">
        <f t="shared" si="37"/>
        <v>13631.638873538493</v>
      </c>
      <c r="R255" s="165">
        <f t="shared" si="38"/>
        <v>1592.9598289214343</v>
      </c>
      <c r="S255" s="165">
        <f t="shared" si="39"/>
        <v>15224.598702459927</v>
      </c>
      <c r="T255" s="165">
        <f t="shared" si="40"/>
        <v>237071.98040936509</v>
      </c>
      <c r="U255" s="165">
        <f t="shared" si="41"/>
        <v>26549.330482023903</v>
      </c>
      <c r="V255" s="165">
        <f t="shared" si="42"/>
        <v>0</v>
      </c>
      <c r="W255" s="165">
        <f t="shared" si="43"/>
        <v>0</v>
      </c>
      <c r="X255" s="166">
        <f t="shared" si="34"/>
        <v>26549.330482023903</v>
      </c>
    </row>
    <row r="256" spans="4:24">
      <c r="D256" s="9" t="s">
        <v>227</v>
      </c>
      <c r="E256" s="9" t="s">
        <v>2768</v>
      </c>
      <c r="F256" s="4" t="s">
        <v>730</v>
      </c>
      <c r="G256" s="9" t="s">
        <v>2856</v>
      </c>
      <c r="H256" s="164">
        <v>333340.31280744151</v>
      </c>
      <c r="I256" s="165">
        <v>139898.05379822143</v>
      </c>
      <c r="J256" s="165">
        <v>139303.97922165651</v>
      </c>
      <c r="K256" s="165">
        <v>27110.062156148437</v>
      </c>
      <c r="L256" s="177">
        <f t="shared" si="35"/>
        <v>472644.29202909803</v>
      </c>
      <c r="M256" s="166">
        <f t="shared" si="36"/>
        <v>167008.11595436986</v>
      </c>
      <c r="N256" s="189">
        <f>INDEX('CHIRP Payment Calc'!AM:AM,MATCH(F256,'CHIRP Payment Calc'!C:C,0))</f>
        <v>0.63</v>
      </c>
      <c r="O256" s="189">
        <f>INDEX('CHIRP Payment Calc'!AL:AL,MATCH(FeeCalc!F256,'CHIRP Payment Calc'!C:C,0))</f>
        <v>0</v>
      </c>
      <c r="P256" s="164">
        <f t="shared" ref="P256:P318" si="44">(L256*N256)+(M256*O256)</f>
        <v>297765.90397833177</v>
      </c>
      <c r="Q256" s="165">
        <f t="shared" si="37"/>
        <v>12811.939343713069</v>
      </c>
      <c r="R256" s="165">
        <f t="shared" si="38"/>
        <v>5601.7983133815069</v>
      </c>
      <c r="S256" s="165">
        <f t="shared" si="39"/>
        <v>18413.737657094578</v>
      </c>
      <c r="T256" s="165">
        <f t="shared" si="40"/>
        <v>222816.3364124012</v>
      </c>
      <c r="U256" s="165">
        <f t="shared" si="41"/>
        <v>93363.305223025105</v>
      </c>
      <c r="V256" s="165">
        <f t="shared" si="42"/>
        <v>0</v>
      </c>
      <c r="W256" s="165">
        <f t="shared" si="43"/>
        <v>0</v>
      </c>
      <c r="X256" s="166">
        <f t="shared" ref="X256:X318" si="45">U256+W256</f>
        <v>93363.305223025105</v>
      </c>
    </row>
    <row r="257" spans="4:24">
      <c r="D257" s="9" t="s">
        <v>227</v>
      </c>
      <c r="E257" s="9" t="s">
        <v>2768</v>
      </c>
      <c r="F257" s="4" t="s">
        <v>348</v>
      </c>
      <c r="G257" s="9" t="s">
        <v>3106</v>
      </c>
      <c r="H257" s="164">
        <v>55552.644488817838</v>
      </c>
      <c r="I257" s="165">
        <v>133938.944177928</v>
      </c>
      <c r="J257" s="165">
        <v>5748.9396549356516</v>
      </c>
      <c r="K257" s="165">
        <v>28801.90576373896</v>
      </c>
      <c r="L257" s="177">
        <f t="shared" ref="L257:L319" si="46">H257+J257</f>
        <v>61301.584143753491</v>
      </c>
      <c r="M257" s="166">
        <f t="shared" ref="M257:M319" si="47">I257+K257</f>
        <v>162740.84994166697</v>
      </c>
      <c r="N257" s="189">
        <f>INDEX('CHIRP Payment Calc'!AM:AM,MATCH(F257,'CHIRP Payment Calc'!C:C,0))</f>
        <v>1.81</v>
      </c>
      <c r="O257" s="189">
        <f>INDEX('CHIRP Payment Calc'!AL:AL,MATCH(FeeCalc!F257,'CHIRP Payment Calc'!C:C,0))</f>
        <v>0</v>
      </c>
      <c r="P257" s="164">
        <f t="shared" si="44"/>
        <v>110955.86730019382</v>
      </c>
      <c r="Q257" s="165">
        <f t="shared" ref="Q257:Q319" si="48">(T257+V257)*$B$10</f>
        <v>6134.3676129164105</v>
      </c>
      <c r="R257" s="165">
        <f t="shared" ref="R257:R319" si="49">(U257+W257)*$B$11</f>
        <v>664.18600694256577</v>
      </c>
      <c r="S257" s="165">
        <f t="shared" ref="S257:S319" si="50">(T257+V257)*$B$10+(U257+W257)*$B$11</f>
        <v>6798.5536198589762</v>
      </c>
      <c r="T257" s="165">
        <f t="shared" ref="T257:T319" si="51">H257/(1-$B$10)*N257</f>
        <v>106684.6541376767</v>
      </c>
      <c r="U257" s="165">
        <f t="shared" ref="U257:U319" si="52">J257/(1-$B$11)*N257</f>
        <v>11069.766782376095</v>
      </c>
      <c r="V257" s="165">
        <f t="shared" ref="V257:V319" si="53">I257/(1-$B$10)*O257</f>
        <v>0</v>
      </c>
      <c r="W257" s="165">
        <f t="shared" ref="W257:W319" si="54">K257/(1-$B$11)*O257</f>
        <v>0</v>
      </c>
      <c r="X257" s="166">
        <f t="shared" si="45"/>
        <v>11069.766782376095</v>
      </c>
    </row>
    <row r="258" spans="4:24">
      <c r="D258" s="9" t="s">
        <v>227</v>
      </c>
      <c r="E258" s="9" t="s">
        <v>2768</v>
      </c>
      <c r="F258" s="4" t="s">
        <v>498</v>
      </c>
      <c r="G258" s="9" t="s">
        <v>3371</v>
      </c>
      <c r="H258" s="164">
        <v>1631180.8696660274</v>
      </c>
      <c r="I258" s="165">
        <v>1388251.0108675761</v>
      </c>
      <c r="J258" s="165">
        <v>203311.90400896803</v>
      </c>
      <c r="K258" s="165">
        <v>101074.21011087949</v>
      </c>
      <c r="L258" s="177">
        <f t="shared" si="46"/>
        <v>1834492.7736749954</v>
      </c>
      <c r="M258" s="166">
        <f t="shared" si="47"/>
        <v>1489325.2209784556</v>
      </c>
      <c r="N258" s="189">
        <f>INDEX('CHIRP Payment Calc'!AM:AM,MATCH(F258,'CHIRP Payment Calc'!C:C,0))</f>
        <v>0.28999999999999998</v>
      </c>
      <c r="O258" s="189">
        <f>INDEX('CHIRP Payment Calc'!AL:AL,MATCH(FeeCalc!F258,'CHIRP Payment Calc'!C:C,0))</f>
        <v>0</v>
      </c>
      <c r="P258" s="164">
        <f t="shared" si="44"/>
        <v>532002.90436574863</v>
      </c>
      <c r="Q258" s="165">
        <f t="shared" si="48"/>
        <v>28859.353847937407</v>
      </c>
      <c r="R258" s="165">
        <f t="shared" si="49"/>
        <v>3763.4331167617493</v>
      </c>
      <c r="S258" s="165">
        <f t="shared" si="50"/>
        <v>32622.786964699157</v>
      </c>
      <c r="T258" s="165">
        <f t="shared" si="51"/>
        <v>501901.8060510853</v>
      </c>
      <c r="U258" s="165">
        <f t="shared" si="52"/>
        <v>62723.885279362483</v>
      </c>
      <c r="V258" s="165">
        <f t="shared" si="53"/>
        <v>0</v>
      </c>
      <c r="W258" s="165">
        <f t="shared" si="54"/>
        <v>0</v>
      </c>
      <c r="X258" s="166">
        <f t="shared" si="45"/>
        <v>62723.885279362483</v>
      </c>
    </row>
    <row r="259" spans="4:24">
      <c r="D259" s="9" t="s">
        <v>227</v>
      </c>
      <c r="E259" s="9" t="s">
        <v>2768</v>
      </c>
      <c r="F259" s="4" t="s">
        <v>3080</v>
      </c>
      <c r="G259" s="9" t="s">
        <v>3387</v>
      </c>
      <c r="H259" s="164">
        <v>1979993.4684307449</v>
      </c>
      <c r="I259" s="165">
        <v>3483043.931162158</v>
      </c>
      <c r="J259" s="165">
        <v>905872.09936977969</v>
      </c>
      <c r="K259" s="165">
        <v>1512115.0415202123</v>
      </c>
      <c r="L259" s="177">
        <f t="shared" si="46"/>
        <v>2885865.5678005246</v>
      </c>
      <c r="M259" s="166">
        <f t="shared" si="47"/>
        <v>4995158.9726823699</v>
      </c>
      <c r="N259" s="189">
        <f>INDEX('CHIRP Payment Calc'!AM:AM,MATCH(F259,'CHIRP Payment Calc'!C:C,0))</f>
        <v>0.91999999999999993</v>
      </c>
      <c r="O259" s="189">
        <f>INDEX('CHIRP Payment Calc'!AL:AL,MATCH(FeeCalc!F259,'CHIRP Payment Calc'!C:C,0))</f>
        <v>0</v>
      </c>
      <c r="P259" s="164">
        <f t="shared" si="44"/>
        <v>2654996.3223764827</v>
      </c>
      <c r="Q259" s="165">
        <f t="shared" si="48"/>
        <v>111131.72889123225</v>
      </c>
      <c r="R259" s="165">
        <f t="shared" si="49"/>
        <v>53195.893494906217</v>
      </c>
      <c r="S259" s="165">
        <f t="shared" si="50"/>
        <v>164327.62238613848</v>
      </c>
      <c r="T259" s="165">
        <f t="shared" si="51"/>
        <v>1932725.7198475173</v>
      </c>
      <c r="U259" s="165">
        <f t="shared" si="52"/>
        <v>886598.22491510352</v>
      </c>
      <c r="V259" s="165">
        <f t="shared" si="53"/>
        <v>0</v>
      </c>
      <c r="W259" s="165">
        <f t="shared" si="54"/>
        <v>0</v>
      </c>
      <c r="X259" s="166">
        <f t="shared" si="45"/>
        <v>886598.22491510352</v>
      </c>
    </row>
    <row r="260" spans="4:24">
      <c r="D260" s="9" t="s">
        <v>227</v>
      </c>
      <c r="E260" s="9" t="s">
        <v>2768</v>
      </c>
      <c r="F260" s="4" t="s">
        <v>742</v>
      </c>
      <c r="G260" s="9" t="s">
        <v>3147</v>
      </c>
      <c r="H260" s="164">
        <v>0</v>
      </c>
      <c r="I260" s="165">
        <v>223756.61518803303</v>
      </c>
      <c r="J260" s="165">
        <v>0</v>
      </c>
      <c r="K260" s="165">
        <v>61835.809123830797</v>
      </c>
      <c r="L260" s="177">
        <f t="shared" si="46"/>
        <v>0</v>
      </c>
      <c r="M260" s="166">
        <f t="shared" si="47"/>
        <v>285592.42431186384</v>
      </c>
      <c r="N260" s="189">
        <f>INDEX('CHIRP Payment Calc'!AM:AM,MATCH(F260,'CHIRP Payment Calc'!C:C,0))</f>
        <v>0.28999999999999998</v>
      </c>
      <c r="O260" s="189">
        <f>INDEX('CHIRP Payment Calc'!AL:AL,MATCH(FeeCalc!F260,'CHIRP Payment Calc'!C:C,0))</f>
        <v>0</v>
      </c>
      <c r="P260" s="164">
        <f t="shared" si="44"/>
        <v>0</v>
      </c>
      <c r="Q260" s="165">
        <f t="shared" si="48"/>
        <v>0</v>
      </c>
      <c r="R260" s="165">
        <f t="shared" si="49"/>
        <v>0</v>
      </c>
      <c r="S260" s="165">
        <f t="shared" si="50"/>
        <v>0</v>
      </c>
      <c r="T260" s="165">
        <f t="shared" si="51"/>
        <v>0</v>
      </c>
      <c r="U260" s="165">
        <f t="shared" si="52"/>
        <v>0</v>
      </c>
      <c r="V260" s="165">
        <f t="shared" si="53"/>
        <v>0</v>
      </c>
      <c r="W260" s="165">
        <f t="shared" si="54"/>
        <v>0</v>
      </c>
      <c r="X260" s="166">
        <f t="shared" si="45"/>
        <v>0</v>
      </c>
    </row>
    <row r="261" spans="4:24">
      <c r="D261" s="9" t="s">
        <v>227</v>
      </c>
      <c r="E261" s="9" t="s">
        <v>2768</v>
      </c>
      <c r="F261" s="4" t="s">
        <v>893</v>
      </c>
      <c r="G261" s="9" t="s">
        <v>2996</v>
      </c>
      <c r="H261" s="164">
        <v>254484.27397663658</v>
      </c>
      <c r="I261" s="165">
        <v>22833.780917614164</v>
      </c>
      <c r="J261" s="165">
        <v>75836.477516562401</v>
      </c>
      <c r="K261" s="165">
        <v>29191.524379620721</v>
      </c>
      <c r="L261" s="177">
        <f t="shared" si="46"/>
        <v>330320.75149319897</v>
      </c>
      <c r="M261" s="166">
        <f t="shared" si="47"/>
        <v>52025.305297234881</v>
      </c>
      <c r="N261" s="189">
        <f>INDEX('CHIRP Payment Calc'!AM:AM,MATCH(F261,'CHIRP Payment Calc'!C:C,0))</f>
        <v>0.28999999999999998</v>
      </c>
      <c r="O261" s="189">
        <f>INDEX('CHIRP Payment Calc'!AL:AL,MATCH(FeeCalc!F261,'CHIRP Payment Calc'!C:C,0))</f>
        <v>0</v>
      </c>
      <c r="P261" s="164">
        <f t="shared" si="44"/>
        <v>95793.017933027702</v>
      </c>
      <c r="Q261" s="165">
        <f t="shared" si="48"/>
        <v>4502.4140780481857</v>
      </c>
      <c r="R261" s="165">
        <f t="shared" si="49"/>
        <v>1403.7816050938147</v>
      </c>
      <c r="S261" s="165">
        <f t="shared" si="50"/>
        <v>5906.1956831420002</v>
      </c>
      <c r="T261" s="165">
        <f t="shared" si="51"/>
        <v>78302.853531272791</v>
      </c>
      <c r="U261" s="165">
        <f t="shared" si="52"/>
        <v>23396.360084896911</v>
      </c>
      <c r="V261" s="165">
        <f t="shared" si="53"/>
        <v>0</v>
      </c>
      <c r="W261" s="165">
        <f t="shared" si="54"/>
        <v>0</v>
      </c>
      <c r="X261" s="166">
        <f t="shared" si="45"/>
        <v>23396.360084896911</v>
      </c>
    </row>
    <row r="262" spans="4:24">
      <c r="D262" s="9" t="s">
        <v>227</v>
      </c>
      <c r="E262" s="9" t="s">
        <v>2768</v>
      </c>
      <c r="F262" s="4" t="s">
        <v>513</v>
      </c>
      <c r="G262" s="9" t="s">
        <v>3146</v>
      </c>
      <c r="H262" s="164">
        <v>228244.44374668202</v>
      </c>
      <c r="I262" s="165">
        <v>407995.36188304058</v>
      </c>
      <c r="J262" s="165">
        <v>101075.0746214637</v>
      </c>
      <c r="K262" s="165">
        <v>142651.60482835726</v>
      </c>
      <c r="L262" s="177">
        <f t="shared" si="46"/>
        <v>329319.51836814574</v>
      </c>
      <c r="M262" s="166">
        <f t="shared" si="47"/>
        <v>550646.96671139786</v>
      </c>
      <c r="N262" s="189">
        <f>INDEX('CHIRP Payment Calc'!AM:AM,MATCH(F262,'CHIRP Payment Calc'!C:C,0))</f>
        <v>0.28999999999999998</v>
      </c>
      <c r="O262" s="189">
        <f>INDEX('CHIRP Payment Calc'!AL:AL,MATCH(FeeCalc!F262,'CHIRP Payment Calc'!C:C,0))</f>
        <v>0</v>
      </c>
      <c r="P262" s="164">
        <f t="shared" si="44"/>
        <v>95502.660326762256</v>
      </c>
      <c r="Q262" s="165">
        <f t="shared" si="48"/>
        <v>4038.1709278259127</v>
      </c>
      <c r="R262" s="165">
        <f t="shared" si="49"/>
        <v>1870.9641472483709</v>
      </c>
      <c r="S262" s="165">
        <f t="shared" si="50"/>
        <v>5909.135075074284</v>
      </c>
      <c r="T262" s="165">
        <f t="shared" si="51"/>
        <v>70229.059614363694</v>
      </c>
      <c r="U262" s="165">
        <f t="shared" si="52"/>
        <v>31182.735787472844</v>
      </c>
      <c r="V262" s="165">
        <f t="shared" si="53"/>
        <v>0</v>
      </c>
      <c r="W262" s="165">
        <f t="shared" si="54"/>
        <v>0</v>
      </c>
      <c r="X262" s="166">
        <f t="shared" si="45"/>
        <v>31182.735787472844</v>
      </c>
    </row>
    <row r="263" spans="4:24">
      <c r="D263" s="9" t="s">
        <v>227</v>
      </c>
      <c r="E263" s="9" t="s">
        <v>2768</v>
      </c>
      <c r="F263" s="4" t="s">
        <v>501</v>
      </c>
      <c r="G263" s="9" t="s">
        <v>3560</v>
      </c>
      <c r="H263" s="164">
        <v>210327.80603717436</v>
      </c>
      <c r="I263" s="165">
        <v>20024.750449699317</v>
      </c>
      <c r="J263" s="165">
        <v>80573.968484039578</v>
      </c>
      <c r="K263" s="165">
        <v>36036.47791402656</v>
      </c>
      <c r="L263" s="177">
        <f t="shared" si="46"/>
        <v>290901.77452121396</v>
      </c>
      <c r="M263" s="166">
        <f t="shared" si="47"/>
        <v>56061.228363725881</v>
      </c>
      <c r="N263" s="189">
        <f>INDEX('CHIRP Payment Calc'!AM:AM,MATCH(F263,'CHIRP Payment Calc'!C:C,0))</f>
        <v>0.28999999999999998</v>
      </c>
      <c r="O263" s="189">
        <f>INDEX('CHIRP Payment Calc'!AL:AL,MATCH(FeeCalc!F263,'CHIRP Payment Calc'!C:C,0))</f>
        <v>0</v>
      </c>
      <c r="P263" s="164">
        <f t="shared" si="44"/>
        <v>84361.514611152044</v>
      </c>
      <c r="Q263" s="165">
        <f t="shared" si="48"/>
        <v>3721.1842606577002</v>
      </c>
      <c r="R263" s="165">
        <f t="shared" si="49"/>
        <v>1491.475586832222</v>
      </c>
      <c r="S263" s="165">
        <f t="shared" si="50"/>
        <v>5212.659847489922</v>
      </c>
      <c r="T263" s="165">
        <f t="shared" si="51"/>
        <v>64716.248011438263</v>
      </c>
      <c r="U263" s="165">
        <f t="shared" si="52"/>
        <v>24857.926447203699</v>
      </c>
      <c r="V263" s="165">
        <f t="shared" si="53"/>
        <v>0</v>
      </c>
      <c r="W263" s="165">
        <f t="shared" si="54"/>
        <v>0</v>
      </c>
      <c r="X263" s="166">
        <f t="shared" si="45"/>
        <v>24857.926447203699</v>
      </c>
    </row>
    <row r="264" spans="4:24">
      <c r="D264" s="9" t="s">
        <v>227</v>
      </c>
      <c r="E264" s="9" t="s">
        <v>2768</v>
      </c>
      <c r="F264" s="4" t="s">
        <v>942</v>
      </c>
      <c r="G264" s="9" t="s">
        <v>2170</v>
      </c>
      <c r="H264" s="164">
        <v>596085.51517789485</v>
      </c>
      <c r="I264" s="165">
        <v>681542.64565214189</v>
      </c>
      <c r="J264" s="165">
        <v>63434.7236704022</v>
      </c>
      <c r="K264" s="165">
        <v>63430.012390895412</v>
      </c>
      <c r="L264" s="177">
        <f t="shared" si="46"/>
        <v>659520.23884829704</v>
      </c>
      <c r="M264" s="166">
        <f t="shared" si="47"/>
        <v>744972.65804303729</v>
      </c>
      <c r="N264" s="189">
        <f>INDEX('CHIRP Payment Calc'!AM:AM,MATCH(F264,'CHIRP Payment Calc'!C:C,0))</f>
        <v>0.31999999999999995</v>
      </c>
      <c r="O264" s="189">
        <f>INDEX('CHIRP Payment Calc'!AL:AL,MATCH(FeeCalc!F264,'CHIRP Payment Calc'!C:C,0))</f>
        <v>0</v>
      </c>
      <c r="P264" s="164">
        <f t="shared" si="44"/>
        <v>211046.47643145503</v>
      </c>
      <c r="Q264" s="165">
        <f t="shared" si="48"/>
        <v>11637.107139812482</v>
      </c>
      <c r="R264" s="165">
        <f t="shared" si="49"/>
        <v>1295.6879728422575</v>
      </c>
      <c r="S264" s="165">
        <f t="shared" si="50"/>
        <v>12932.79511265474</v>
      </c>
      <c r="T264" s="165">
        <f t="shared" si="51"/>
        <v>202384.47199673881</v>
      </c>
      <c r="U264" s="165">
        <f t="shared" si="52"/>
        <v>21594.799547370956</v>
      </c>
      <c r="V264" s="165">
        <f t="shared" si="53"/>
        <v>0</v>
      </c>
      <c r="W264" s="165">
        <f t="shared" si="54"/>
        <v>0</v>
      </c>
      <c r="X264" s="166">
        <f t="shared" si="45"/>
        <v>21594.799547370956</v>
      </c>
    </row>
    <row r="265" spans="4:24">
      <c r="D265" s="9" t="s">
        <v>227</v>
      </c>
      <c r="E265" s="9" t="s">
        <v>2768</v>
      </c>
      <c r="F265" s="4" t="s">
        <v>993</v>
      </c>
      <c r="G265" s="9" t="s">
        <v>3563</v>
      </c>
      <c r="H265" s="164">
        <v>1662578.9903546651</v>
      </c>
      <c r="I265" s="165">
        <v>1276261.7147886651</v>
      </c>
      <c r="J265" s="165">
        <v>434666.19513183384</v>
      </c>
      <c r="K265" s="165">
        <v>244370.873945781</v>
      </c>
      <c r="L265" s="177">
        <f t="shared" si="46"/>
        <v>2097245.1854864988</v>
      </c>
      <c r="M265" s="166">
        <f t="shared" si="47"/>
        <v>1520632.5887344461</v>
      </c>
      <c r="N265" s="189">
        <f>INDEX('CHIRP Payment Calc'!AM:AM,MATCH(F265,'CHIRP Payment Calc'!C:C,0))</f>
        <v>0.28999999999999998</v>
      </c>
      <c r="O265" s="189">
        <f>INDEX('CHIRP Payment Calc'!AL:AL,MATCH(FeeCalc!F265,'CHIRP Payment Calc'!C:C,0))</f>
        <v>0</v>
      </c>
      <c r="P265" s="164">
        <f t="shared" si="44"/>
        <v>608201.10379108461</v>
      </c>
      <c r="Q265" s="165">
        <f t="shared" si="48"/>
        <v>29414.859060120998</v>
      </c>
      <c r="R265" s="165">
        <f t="shared" si="49"/>
        <v>8045.9487183977762</v>
      </c>
      <c r="S265" s="165">
        <f t="shared" si="50"/>
        <v>37460.807778518778</v>
      </c>
      <c r="T265" s="165">
        <f t="shared" si="51"/>
        <v>511562.76626297383</v>
      </c>
      <c r="U265" s="165">
        <f t="shared" si="52"/>
        <v>134099.14530662959</v>
      </c>
      <c r="V265" s="165">
        <f t="shared" si="53"/>
        <v>0</v>
      </c>
      <c r="W265" s="165">
        <f t="shared" si="54"/>
        <v>0</v>
      </c>
      <c r="X265" s="166">
        <f t="shared" si="45"/>
        <v>134099.14530662959</v>
      </c>
    </row>
    <row r="266" spans="4:24">
      <c r="D266" s="9" t="s">
        <v>227</v>
      </c>
      <c r="E266" s="9" t="s">
        <v>2768</v>
      </c>
      <c r="F266" s="4" t="s">
        <v>1683</v>
      </c>
      <c r="G266" s="9" t="s">
        <v>3313</v>
      </c>
      <c r="H266" s="164">
        <v>520675.28336014552</v>
      </c>
      <c r="I266" s="165">
        <v>13274.37146397453</v>
      </c>
      <c r="J266" s="165">
        <v>144274.39200410375</v>
      </c>
      <c r="K266" s="165">
        <v>34330.465752998891</v>
      </c>
      <c r="L266" s="177">
        <f t="shared" si="46"/>
        <v>664949.67536424927</v>
      </c>
      <c r="M266" s="166">
        <f t="shared" si="47"/>
        <v>47604.837216973421</v>
      </c>
      <c r="N266" s="189">
        <f>INDEX('CHIRP Payment Calc'!AM:AM,MATCH(F266,'CHIRP Payment Calc'!C:C,0))</f>
        <v>0.28999999999999998</v>
      </c>
      <c r="O266" s="189">
        <f>INDEX('CHIRP Payment Calc'!AL:AL,MATCH(FeeCalc!F266,'CHIRP Payment Calc'!C:C,0))</f>
        <v>0</v>
      </c>
      <c r="P266" s="164">
        <f t="shared" si="44"/>
        <v>192835.40585563227</v>
      </c>
      <c r="Q266" s="165">
        <f t="shared" si="48"/>
        <v>9211.9473209871885</v>
      </c>
      <c r="R266" s="165">
        <f t="shared" si="49"/>
        <v>2670.6110860334097</v>
      </c>
      <c r="S266" s="165">
        <f t="shared" si="50"/>
        <v>11882.558407020599</v>
      </c>
      <c r="T266" s="165">
        <f t="shared" si="51"/>
        <v>160207.77949542936</v>
      </c>
      <c r="U266" s="165">
        <f t="shared" si="52"/>
        <v>44510.184767223494</v>
      </c>
      <c r="V266" s="165">
        <f t="shared" si="53"/>
        <v>0</v>
      </c>
      <c r="W266" s="165">
        <f t="shared" si="54"/>
        <v>0</v>
      </c>
      <c r="X266" s="166">
        <f t="shared" si="45"/>
        <v>44510.184767223494</v>
      </c>
    </row>
    <row r="267" spans="4:24">
      <c r="D267" s="9" t="s">
        <v>227</v>
      </c>
      <c r="E267" s="9" t="s">
        <v>2768</v>
      </c>
      <c r="F267" s="4" t="s">
        <v>2359</v>
      </c>
      <c r="G267" s="9" t="s">
        <v>3367</v>
      </c>
      <c r="H267" s="164">
        <v>1262533.7519105531</v>
      </c>
      <c r="I267" s="165">
        <v>1372323.8714485923</v>
      </c>
      <c r="J267" s="165">
        <v>288367.38912414416</v>
      </c>
      <c r="K267" s="165">
        <v>1163133.2092416587</v>
      </c>
      <c r="L267" s="177">
        <f t="shared" si="46"/>
        <v>1550901.1410346972</v>
      </c>
      <c r="M267" s="166">
        <f t="shared" si="47"/>
        <v>2535457.0806902507</v>
      </c>
      <c r="N267" s="189">
        <f>INDEX('CHIRP Payment Calc'!AM:AM,MATCH(F267,'CHIRP Payment Calc'!C:C,0))</f>
        <v>1.1499999999999999</v>
      </c>
      <c r="O267" s="189">
        <f>INDEX('CHIRP Payment Calc'!AL:AL,MATCH(FeeCalc!F267,'CHIRP Payment Calc'!C:C,0))</f>
        <v>0</v>
      </c>
      <c r="P267" s="164">
        <f t="shared" si="44"/>
        <v>1783536.3121899017</v>
      </c>
      <c r="Q267" s="165">
        <f t="shared" si="48"/>
        <v>88578.296387358423</v>
      </c>
      <c r="R267" s="165">
        <f t="shared" si="49"/>
        <v>21167.393456985053</v>
      </c>
      <c r="S267" s="165">
        <f t="shared" si="50"/>
        <v>109745.68984434348</v>
      </c>
      <c r="T267" s="165">
        <f t="shared" si="51"/>
        <v>1540492.1110844943</v>
      </c>
      <c r="U267" s="165">
        <f t="shared" si="52"/>
        <v>352789.89094975084</v>
      </c>
      <c r="V267" s="165">
        <f t="shared" si="53"/>
        <v>0</v>
      </c>
      <c r="W267" s="165">
        <f t="shared" si="54"/>
        <v>0</v>
      </c>
      <c r="X267" s="166">
        <f t="shared" si="45"/>
        <v>352789.89094975084</v>
      </c>
    </row>
    <row r="268" spans="4:24">
      <c r="D268" s="9" t="s">
        <v>227</v>
      </c>
      <c r="E268" s="9" t="s">
        <v>2768</v>
      </c>
      <c r="F268" s="4" t="s">
        <v>675</v>
      </c>
      <c r="G268" s="9" t="s">
        <v>3379</v>
      </c>
      <c r="H268" s="164">
        <v>273837.44530503522</v>
      </c>
      <c r="I268" s="165">
        <v>20374.723376895436</v>
      </c>
      <c r="J268" s="165">
        <v>18165.28575881404</v>
      </c>
      <c r="K268" s="165">
        <v>1130.5851583974547</v>
      </c>
      <c r="L268" s="177">
        <f t="shared" si="46"/>
        <v>292002.73106384923</v>
      </c>
      <c r="M268" s="166">
        <f t="shared" si="47"/>
        <v>21505.30853529289</v>
      </c>
      <c r="N268" s="189">
        <f>INDEX('CHIRP Payment Calc'!AM:AM,MATCH(F268,'CHIRP Payment Calc'!C:C,0))</f>
        <v>0.28999999999999998</v>
      </c>
      <c r="O268" s="189">
        <f>INDEX('CHIRP Payment Calc'!AL:AL,MATCH(FeeCalc!F268,'CHIRP Payment Calc'!C:C,0))</f>
        <v>0</v>
      </c>
      <c r="P268" s="164">
        <f t="shared" si="44"/>
        <v>84680.792008516277</v>
      </c>
      <c r="Q268" s="165">
        <f t="shared" si="48"/>
        <v>4844.8163400121621</v>
      </c>
      <c r="R268" s="165">
        <f t="shared" si="49"/>
        <v>336.25103425889819</v>
      </c>
      <c r="S268" s="165">
        <f t="shared" si="50"/>
        <v>5181.0673742710605</v>
      </c>
      <c r="T268" s="165">
        <f t="shared" si="51"/>
        <v>84257.675478472374</v>
      </c>
      <c r="U268" s="165">
        <f t="shared" si="52"/>
        <v>5604.1839043149694</v>
      </c>
      <c r="V268" s="165">
        <f t="shared" si="53"/>
        <v>0</v>
      </c>
      <c r="W268" s="165">
        <f t="shared" si="54"/>
        <v>0</v>
      </c>
      <c r="X268" s="166">
        <f t="shared" si="45"/>
        <v>5604.1839043149694</v>
      </c>
    </row>
    <row r="269" spans="4:24">
      <c r="D269" s="9" t="s">
        <v>227</v>
      </c>
      <c r="E269" s="9" t="s">
        <v>2768</v>
      </c>
      <c r="F269" s="4" t="s">
        <v>621</v>
      </c>
      <c r="G269" s="9" t="s">
        <v>3366</v>
      </c>
      <c r="H269" s="164">
        <v>698796.54947646637</v>
      </c>
      <c r="I269" s="165">
        <v>100310.60846683702</v>
      </c>
      <c r="J269" s="165">
        <v>307291.74708183814</v>
      </c>
      <c r="K269" s="165">
        <v>307417.68735649594</v>
      </c>
      <c r="L269" s="177">
        <f t="shared" si="46"/>
        <v>1006088.2965583045</v>
      </c>
      <c r="M269" s="166">
        <f t="shared" si="47"/>
        <v>407728.29582333297</v>
      </c>
      <c r="N269" s="189">
        <f>INDEX('CHIRP Payment Calc'!AM:AM,MATCH(F269,'CHIRP Payment Calc'!C:C,0))</f>
        <v>0.28999999999999998</v>
      </c>
      <c r="O269" s="189">
        <f>INDEX('CHIRP Payment Calc'!AL:AL,MATCH(FeeCalc!F269,'CHIRP Payment Calc'!C:C,0))</f>
        <v>0</v>
      </c>
      <c r="P269" s="164">
        <f t="shared" si="44"/>
        <v>291765.60600190825</v>
      </c>
      <c r="Q269" s="165">
        <f t="shared" si="48"/>
        <v>12363.323567660558</v>
      </c>
      <c r="R269" s="165">
        <f t="shared" si="49"/>
        <v>5688.1663821531747</v>
      </c>
      <c r="S269" s="165">
        <f t="shared" si="50"/>
        <v>18051.489949813731</v>
      </c>
      <c r="T269" s="165">
        <f t="shared" si="51"/>
        <v>215014.3229158358</v>
      </c>
      <c r="U269" s="165">
        <f t="shared" si="52"/>
        <v>94802.773035886232</v>
      </c>
      <c r="V269" s="165">
        <f t="shared" si="53"/>
        <v>0</v>
      </c>
      <c r="W269" s="165">
        <f t="shared" si="54"/>
        <v>0</v>
      </c>
      <c r="X269" s="166">
        <f t="shared" si="45"/>
        <v>94802.773035886232</v>
      </c>
    </row>
    <row r="270" spans="4:24">
      <c r="D270" s="9" t="s">
        <v>227</v>
      </c>
      <c r="E270" s="9" t="s">
        <v>2768</v>
      </c>
      <c r="F270" s="4" t="s">
        <v>588</v>
      </c>
      <c r="G270" s="9" t="s">
        <v>3431</v>
      </c>
      <c r="H270" s="164">
        <v>935408.73123283416</v>
      </c>
      <c r="I270" s="165">
        <v>902263.74524903286</v>
      </c>
      <c r="J270" s="165">
        <v>190063.12369141064</v>
      </c>
      <c r="K270" s="165">
        <v>104319.7910741891</v>
      </c>
      <c r="L270" s="177">
        <f t="shared" si="46"/>
        <v>1125471.8549242448</v>
      </c>
      <c r="M270" s="166">
        <f t="shared" si="47"/>
        <v>1006583.536323222</v>
      </c>
      <c r="N270" s="189">
        <f>INDEX('CHIRP Payment Calc'!AM:AM,MATCH(F270,'CHIRP Payment Calc'!C:C,0))</f>
        <v>0.37</v>
      </c>
      <c r="O270" s="189">
        <f>INDEX('CHIRP Payment Calc'!AL:AL,MATCH(FeeCalc!F270,'CHIRP Payment Calc'!C:C,0))</f>
        <v>0</v>
      </c>
      <c r="P270" s="164">
        <f t="shared" si="44"/>
        <v>416424.58632197056</v>
      </c>
      <c r="Q270" s="165">
        <f t="shared" si="48"/>
        <v>21114.929185123128</v>
      </c>
      <c r="R270" s="165">
        <f t="shared" si="49"/>
        <v>4488.7248361162947</v>
      </c>
      <c r="S270" s="165">
        <f t="shared" si="50"/>
        <v>25603.654021239425</v>
      </c>
      <c r="T270" s="165">
        <f t="shared" si="51"/>
        <v>367216.15974127175</v>
      </c>
      <c r="U270" s="165">
        <f t="shared" si="52"/>
        <v>74812.080601938243</v>
      </c>
      <c r="V270" s="165">
        <f t="shared" si="53"/>
        <v>0</v>
      </c>
      <c r="W270" s="165">
        <f t="shared" si="54"/>
        <v>0</v>
      </c>
      <c r="X270" s="166">
        <f t="shared" si="45"/>
        <v>74812.080601938243</v>
      </c>
    </row>
    <row r="271" spans="4:24">
      <c r="D271" s="9" t="s">
        <v>227</v>
      </c>
      <c r="E271" s="9" t="s">
        <v>2768</v>
      </c>
      <c r="F271" s="4" t="s">
        <v>112</v>
      </c>
      <c r="G271" s="9" t="s">
        <v>2955</v>
      </c>
      <c r="H271" s="164">
        <v>1746076.6433742982</v>
      </c>
      <c r="I271" s="165">
        <v>1495715.5182011202</v>
      </c>
      <c r="J271" s="165">
        <v>308570.66128801508</v>
      </c>
      <c r="K271" s="165">
        <v>327305.6958451189</v>
      </c>
      <c r="L271" s="177">
        <f t="shared" si="46"/>
        <v>2054647.3046623133</v>
      </c>
      <c r="M271" s="166">
        <f t="shared" si="47"/>
        <v>1823021.2140462392</v>
      </c>
      <c r="N271" s="189">
        <f>INDEX('CHIRP Payment Calc'!AM:AM,MATCH(F271,'CHIRP Payment Calc'!C:C,0))</f>
        <v>0.62</v>
      </c>
      <c r="O271" s="189">
        <f>INDEX('CHIRP Payment Calc'!AL:AL,MATCH(FeeCalc!F271,'CHIRP Payment Calc'!C:C,0))</f>
        <v>0</v>
      </c>
      <c r="P271" s="164">
        <f t="shared" si="44"/>
        <v>1273881.3288906342</v>
      </c>
      <c r="Q271" s="165">
        <f t="shared" si="48"/>
        <v>66045.233248057018</v>
      </c>
      <c r="R271" s="165">
        <f t="shared" si="49"/>
        <v>12211.519787142726</v>
      </c>
      <c r="S271" s="165">
        <f t="shared" si="50"/>
        <v>78256.753035199741</v>
      </c>
      <c r="T271" s="165">
        <f t="shared" si="51"/>
        <v>1148612.752140122</v>
      </c>
      <c r="U271" s="165">
        <f t="shared" si="52"/>
        <v>203525.32978571209</v>
      </c>
      <c r="V271" s="165">
        <f t="shared" si="53"/>
        <v>0</v>
      </c>
      <c r="W271" s="165">
        <f t="shared" si="54"/>
        <v>0</v>
      </c>
      <c r="X271" s="166">
        <f t="shared" si="45"/>
        <v>203525.32978571209</v>
      </c>
    </row>
    <row r="272" spans="4:24">
      <c r="D272" s="9" t="s">
        <v>227</v>
      </c>
      <c r="E272" s="9" t="s">
        <v>2768</v>
      </c>
      <c r="F272" s="4" t="s">
        <v>534</v>
      </c>
      <c r="G272" s="9" t="s">
        <v>2973</v>
      </c>
      <c r="H272" s="164">
        <v>325401.68016429927</v>
      </c>
      <c r="I272" s="165">
        <v>333297.88494357304</v>
      </c>
      <c r="J272" s="165">
        <v>53344.327646398546</v>
      </c>
      <c r="K272" s="165">
        <v>92554.345225856159</v>
      </c>
      <c r="L272" s="177">
        <f t="shared" si="46"/>
        <v>378746.00781069783</v>
      </c>
      <c r="M272" s="166">
        <f t="shared" si="47"/>
        <v>425852.23016942921</v>
      </c>
      <c r="N272" s="189">
        <f>INDEX('CHIRP Payment Calc'!AM:AM,MATCH(F272,'CHIRP Payment Calc'!C:C,0))</f>
        <v>1.26</v>
      </c>
      <c r="O272" s="189">
        <f>INDEX('CHIRP Payment Calc'!AL:AL,MATCH(FeeCalc!F272,'CHIRP Payment Calc'!C:C,0))</f>
        <v>0</v>
      </c>
      <c r="P272" s="164">
        <f t="shared" si="44"/>
        <v>477219.96984147927</v>
      </c>
      <c r="Q272" s="165">
        <f t="shared" si="48"/>
        <v>25013.635785573988</v>
      </c>
      <c r="R272" s="165">
        <f t="shared" si="49"/>
        <v>4290.2459256039683</v>
      </c>
      <c r="S272" s="165">
        <f t="shared" si="50"/>
        <v>29303.881711177957</v>
      </c>
      <c r="T272" s="165">
        <f t="shared" si="51"/>
        <v>435019.75279259105</v>
      </c>
      <c r="U272" s="165">
        <f t="shared" si="52"/>
        <v>71504.098760066132</v>
      </c>
      <c r="V272" s="165">
        <f t="shared" si="53"/>
        <v>0</v>
      </c>
      <c r="W272" s="165">
        <f t="shared" si="54"/>
        <v>0</v>
      </c>
      <c r="X272" s="166">
        <f t="shared" si="45"/>
        <v>71504.098760066132</v>
      </c>
    </row>
    <row r="273" spans="4:24">
      <c r="D273" s="9" t="s">
        <v>227</v>
      </c>
      <c r="E273" s="9" t="s">
        <v>2768</v>
      </c>
      <c r="F273" s="4" t="s">
        <v>1141</v>
      </c>
      <c r="G273" s="9" t="s">
        <v>3357</v>
      </c>
      <c r="H273" s="164">
        <v>29589.958773119051</v>
      </c>
      <c r="I273" s="165">
        <v>4147.6219748876956</v>
      </c>
      <c r="J273" s="165">
        <v>5547.3995621621716</v>
      </c>
      <c r="K273" s="165">
        <v>1129.8518975198876</v>
      </c>
      <c r="L273" s="177">
        <f t="shared" si="46"/>
        <v>35137.35833528122</v>
      </c>
      <c r="M273" s="166">
        <f t="shared" si="47"/>
        <v>5277.4738724075833</v>
      </c>
      <c r="N273" s="189">
        <f>INDEX('CHIRP Payment Calc'!AM:AM,MATCH(F273,'CHIRP Payment Calc'!C:C,0))</f>
        <v>0.28999999999999998</v>
      </c>
      <c r="O273" s="189">
        <f>INDEX('CHIRP Payment Calc'!AL:AL,MATCH(FeeCalc!F273,'CHIRP Payment Calc'!C:C,0))</f>
        <v>0</v>
      </c>
      <c r="P273" s="164">
        <f t="shared" si="44"/>
        <v>10189.833917231554</v>
      </c>
      <c r="Q273" s="165">
        <f t="shared" si="48"/>
        <v>523.51465521672162</v>
      </c>
      <c r="R273" s="165">
        <f t="shared" si="49"/>
        <v>102.68590678895936</v>
      </c>
      <c r="S273" s="165">
        <f t="shared" si="50"/>
        <v>626.20056200568092</v>
      </c>
      <c r="T273" s="165">
        <f t="shared" si="51"/>
        <v>9104.6026994212461</v>
      </c>
      <c r="U273" s="165">
        <f t="shared" si="52"/>
        <v>1711.4317798159891</v>
      </c>
      <c r="V273" s="165">
        <f t="shared" si="53"/>
        <v>0</v>
      </c>
      <c r="W273" s="165">
        <f t="shared" si="54"/>
        <v>0</v>
      </c>
      <c r="X273" s="166">
        <f t="shared" si="45"/>
        <v>1711.4317798159891</v>
      </c>
    </row>
    <row r="274" spans="4:24">
      <c r="D274" s="9" t="s">
        <v>227</v>
      </c>
      <c r="E274" s="9" t="s">
        <v>2768</v>
      </c>
      <c r="F274" s="4" t="s">
        <v>1377</v>
      </c>
      <c r="G274" s="9" t="s">
        <v>3324</v>
      </c>
      <c r="H274" s="164">
        <v>1477575.2639508147</v>
      </c>
      <c r="I274" s="165">
        <v>189823.26024252773</v>
      </c>
      <c r="J274" s="165">
        <v>530415.02428091876</v>
      </c>
      <c r="K274" s="165">
        <v>757443.74043485231</v>
      </c>
      <c r="L274" s="177">
        <f t="shared" si="46"/>
        <v>2007990.2882317335</v>
      </c>
      <c r="M274" s="166">
        <f t="shared" si="47"/>
        <v>947267.00067738001</v>
      </c>
      <c r="N274" s="189">
        <f>INDEX('CHIRP Payment Calc'!AM:AM,MATCH(F274,'CHIRP Payment Calc'!C:C,0))</f>
        <v>0.41</v>
      </c>
      <c r="O274" s="189">
        <f>INDEX('CHIRP Payment Calc'!AL:AL,MATCH(FeeCalc!F274,'CHIRP Payment Calc'!C:C,0))</f>
        <v>0</v>
      </c>
      <c r="P274" s="164">
        <f t="shared" si="44"/>
        <v>823276.01817501069</v>
      </c>
      <c r="Q274" s="165">
        <f t="shared" si="48"/>
        <v>36958.978087682182</v>
      </c>
      <c r="R274" s="165">
        <f t="shared" si="49"/>
        <v>13881.07403969213</v>
      </c>
      <c r="S274" s="165">
        <f t="shared" si="50"/>
        <v>50840.052127374314</v>
      </c>
      <c r="T274" s="165">
        <f t="shared" si="51"/>
        <v>642764.83630751621</v>
      </c>
      <c r="U274" s="165">
        <f t="shared" si="52"/>
        <v>231351.23399486882</v>
      </c>
      <c r="V274" s="165">
        <f t="shared" si="53"/>
        <v>0</v>
      </c>
      <c r="W274" s="165">
        <f t="shared" si="54"/>
        <v>0</v>
      </c>
      <c r="X274" s="166">
        <f t="shared" si="45"/>
        <v>231351.23399486882</v>
      </c>
    </row>
    <row r="275" spans="4:24">
      <c r="D275" s="9" t="s">
        <v>227</v>
      </c>
      <c r="E275" s="9" t="s">
        <v>2768</v>
      </c>
      <c r="F275" s="4" t="s">
        <v>339</v>
      </c>
      <c r="G275" s="9" t="s">
        <v>3136</v>
      </c>
      <c r="H275" s="164">
        <v>0</v>
      </c>
      <c r="I275" s="165">
        <v>649118.10883461311</v>
      </c>
      <c r="J275" s="165">
        <v>0</v>
      </c>
      <c r="K275" s="165">
        <v>222491.5936099359</v>
      </c>
      <c r="L275" s="177">
        <f t="shared" si="46"/>
        <v>0</v>
      </c>
      <c r="M275" s="166">
        <f t="shared" si="47"/>
        <v>871609.70244454895</v>
      </c>
      <c r="N275" s="189">
        <f>INDEX('CHIRP Payment Calc'!AM:AM,MATCH(F275,'CHIRP Payment Calc'!C:C,0))</f>
        <v>0.28999999999999998</v>
      </c>
      <c r="O275" s="189">
        <f>INDEX('CHIRP Payment Calc'!AL:AL,MATCH(FeeCalc!F275,'CHIRP Payment Calc'!C:C,0))</f>
        <v>0</v>
      </c>
      <c r="P275" s="164">
        <f t="shared" si="44"/>
        <v>0</v>
      </c>
      <c r="Q275" s="165">
        <f t="shared" si="48"/>
        <v>0</v>
      </c>
      <c r="R275" s="165">
        <f t="shared" si="49"/>
        <v>0</v>
      </c>
      <c r="S275" s="165">
        <f t="shared" si="50"/>
        <v>0</v>
      </c>
      <c r="T275" s="165">
        <f t="shared" si="51"/>
        <v>0</v>
      </c>
      <c r="U275" s="165">
        <f t="shared" si="52"/>
        <v>0</v>
      </c>
      <c r="V275" s="165">
        <f t="shared" si="53"/>
        <v>0</v>
      </c>
      <c r="W275" s="165">
        <f t="shared" si="54"/>
        <v>0</v>
      </c>
      <c r="X275" s="166">
        <f t="shared" si="45"/>
        <v>0</v>
      </c>
    </row>
    <row r="276" spans="4:24">
      <c r="D276" s="9" t="s">
        <v>227</v>
      </c>
      <c r="E276" s="9" t="s">
        <v>2768</v>
      </c>
      <c r="F276" s="4" t="s">
        <v>615</v>
      </c>
      <c r="G276" s="9" t="s">
        <v>3579</v>
      </c>
      <c r="H276" s="164">
        <v>231660.44919013232</v>
      </c>
      <c r="I276" s="165">
        <v>353.38991466859022</v>
      </c>
      <c r="J276" s="165">
        <v>66326.863614504036</v>
      </c>
      <c r="K276" s="165">
        <v>38060.162899550807</v>
      </c>
      <c r="L276" s="177">
        <f t="shared" si="46"/>
        <v>297987.31280463637</v>
      </c>
      <c r="M276" s="166">
        <f t="shared" si="47"/>
        <v>38413.552814219394</v>
      </c>
      <c r="N276" s="189">
        <f>INDEX('CHIRP Payment Calc'!AM:AM,MATCH(F276,'CHIRP Payment Calc'!C:C,0))</f>
        <v>0.57999999999999996</v>
      </c>
      <c r="O276" s="189">
        <f>INDEX('CHIRP Payment Calc'!AL:AL,MATCH(FeeCalc!F276,'CHIRP Payment Calc'!C:C,0))</f>
        <v>0</v>
      </c>
      <c r="P276" s="164">
        <f t="shared" si="44"/>
        <v>172832.64142668908</v>
      </c>
      <c r="Q276" s="165">
        <f t="shared" si="48"/>
        <v>8197.2158944200655</v>
      </c>
      <c r="R276" s="165">
        <f t="shared" si="49"/>
        <v>2455.5051636007879</v>
      </c>
      <c r="S276" s="165">
        <f t="shared" si="50"/>
        <v>10652.721058020854</v>
      </c>
      <c r="T276" s="165">
        <f t="shared" si="51"/>
        <v>142560.27642469679</v>
      </c>
      <c r="U276" s="165">
        <f t="shared" si="52"/>
        <v>40925.086060013127</v>
      </c>
      <c r="V276" s="165">
        <f t="shared" si="53"/>
        <v>0</v>
      </c>
      <c r="W276" s="165">
        <f t="shared" si="54"/>
        <v>0</v>
      </c>
      <c r="X276" s="166">
        <f t="shared" si="45"/>
        <v>40925.086060013127</v>
      </c>
    </row>
    <row r="277" spans="4:24">
      <c r="D277" s="9" t="s">
        <v>227</v>
      </c>
      <c r="E277" s="9" t="s">
        <v>2768</v>
      </c>
      <c r="F277" s="4" t="s">
        <v>714</v>
      </c>
      <c r="G277" s="9" t="s">
        <v>3311</v>
      </c>
      <c r="H277" s="164">
        <v>1280233.2823934045</v>
      </c>
      <c r="I277" s="165">
        <v>335211.19212103589</v>
      </c>
      <c r="J277" s="165">
        <v>237480.4120647496</v>
      </c>
      <c r="K277" s="165">
        <v>139352.18730154505</v>
      </c>
      <c r="L277" s="177">
        <f t="shared" si="46"/>
        <v>1517713.694458154</v>
      </c>
      <c r="M277" s="166">
        <f t="shared" si="47"/>
        <v>474563.37942258094</v>
      </c>
      <c r="N277" s="189">
        <f>INDEX('CHIRP Payment Calc'!AM:AM,MATCH(F277,'CHIRP Payment Calc'!C:C,0))</f>
        <v>0.42</v>
      </c>
      <c r="O277" s="189">
        <f>INDEX('CHIRP Payment Calc'!AL:AL,MATCH(FeeCalc!F277,'CHIRP Payment Calc'!C:C,0))</f>
        <v>0</v>
      </c>
      <c r="P277" s="164">
        <f t="shared" si="44"/>
        <v>637439.75167242473</v>
      </c>
      <c r="Q277" s="165">
        <f t="shared" si="48"/>
        <v>32803.855458674501</v>
      </c>
      <c r="R277" s="165">
        <f t="shared" si="49"/>
        <v>6366.4961532252028</v>
      </c>
      <c r="S277" s="165">
        <f t="shared" si="50"/>
        <v>39170.351611899707</v>
      </c>
      <c r="T277" s="165">
        <f t="shared" si="51"/>
        <v>570501.83406390436</v>
      </c>
      <c r="U277" s="165">
        <f t="shared" si="52"/>
        <v>106108.26922042004</v>
      </c>
      <c r="V277" s="165">
        <f t="shared" si="53"/>
        <v>0</v>
      </c>
      <c r="W277" s="165">
        <f t="shared" si="54"/>
        <v>0</v>
      </c>
      <c r="X277" s="166">
        <f t="shared" si="45"/>
        <v>106108.26922042004</v>
      </c>
    </row>
    <row r="278" spans="4:24">
      <c r="D278" s="9" t="s">
        <v>227</v>
      </c>
      <c r="E278" s="9" t="s">
        <v>2768</v>
      </c>
      <c r="F278" s="4" t="s">
        <v>11</v>
      </c>
      <c r="G278" s="9" t="s">
        <v>3572</v>
      </c>
      <c r="H278" s="164">
        <v>217723.6549648986</v>
      </c>
      <c r="I278" s="165">
        <v>6639.3026874077905</v>
      </c>
      <c r="J278" s="165">
        <v>40404.928294779376</v>
      </c>
      <c r="K278" s="165">
        <v>0</v>
      </c>
      <c r="L278" s="177">
        <f t="shared" si="46"/>
        <v>258128.58325967798</v>
      </c>
      <c r="M278" s="166">
        <f t="shared" si="47"/>
        <v>6639.3026874077905</v>
      </c>
      <c r="N278" s="189">
        <f>INDEX('CHIRP Payment Calc'!AM:AM,MATCH(F278,'CHIRP Payment Calc'!C:C,0))</f>
        <v>0.28999999999999998</v>
      </c>
      <c r="O278" s="189">
        <f>INDEX('CHIRP Payment Calc'!AL:AL,MATCH(FeeCalc!F278,'CHIRP Payment Calc'!C:C,0))</f>
        <v>0</v>
      </c>
      <c r="P278" s="164">
        <f t="shared" si="44"/>
        <v>74857.289145306611</v>
      </c>
      <c r="Q278" s="165">
        <f t="shared" si="48"/>
        <v>3852.0338955328216</v>
      </c>
      <c r="R278" s="165">
        <f t="shared" si="49"/>
        <v>747.92101311612896</v>
      </c>
      <c r="S278" s="165">
        <f t="shared" si="50"/>
        <v>4599.9549086489505</v>
      </c>
      <c r="T278" s="165">
        <f t="shared" si="51"/>
        <v>66991.893835353418</v>
      </c>
      <c r="U278" s="165">
        <f t="shared" si="52"/>
        <v>12465.350218602149</v>
      </c>
      <c r="V278" s="165">
        <f t="shared" si="53"/>
        <v>0</v>
      </c>
      <c r="W278" s="165">
        <f t="shared" si="54"/>
        <v>0</v>
      </c>
      <c r="X278" s="166">
        <f t="shared" si="45"/>
        <v>12465.350218602149</v>
      </c>
    </row>
    <row r="279" spans="4:24">
      <c r="D279" s="9" t="s">
        <v>227</v>
      </c>
      <c r="E279" s="9" t="s">
        <v>2768</v>
      </c>
      <c r="F279" s="4" t="s">
        <v>696</v>
      </c>
      <c r="G279" s="9" t="s">
        <v>3511</v>
      </c>
      <c r="H279" s="164">
        <v>221256.29967817909</v>
      </c>
      <c r="I279" s="165">
        <v>47668.859540075828</v>
      </c>
      <c r="J279" s="165">
        <v>29331.65514980489</v>
      </c>
      <c r="K279" s="165">
        <v>10286.892652813525</v>
      </c>
      <c r="L279" s="177">
        <f t="shared" si="46"/>
        <v>250587.95482798398</v>
      </c>
      <c r="M279" s="166">
        <f t="shared" si="47"/>
        <v>57955.752192889355</v>
      </c>
      <c r="N279" s="189">
        <f>INDEX('CHIRP Payment Calc'!AM:AM,MATCH(F279,'CHIRP Payment Calc'!C:C,0))</f>
        <v>0.31999999999999995</v>
      </c>
      <c r="O279" s="189">
        <f>INDEX('CHIRP Payment Calc'!AL:AL,MATCH(FeeCalc!F279,'CHIRP Payment Calc'!C:C,0))</f>
        <v>0</v>
      </c>
      <c r="P279" s="164">
        <f t="shared" si="44"/>
        <v>80188.145544954867</v>
      </c>
      <c r="Q279" s="165">
        <f t="shared" si="48"/>
        <v>4319.4863809851395</v>
      </c>
      <c r="R279" s="165">
        <f t="shared" si="49"/>
        <v>599.11465837899345</v>
      </c>
      <c r="S279" s="165">
        <f t="shared" si="50"/>
        <v>4918.6010393641327</v>
      </c>
      <c r="T279" s="165">
        <f t="shared" si="51"/>
        <v>75121.50227800243</v>
      </c>
      <c r="U279" s="165">
        <f t="shared" si="52"/>
        <v>9985.2443063165574</v>
      </c>
      <c r="V279" s="165">
        <f t="shared" si="53"/>
        <v>0</v>
      </c>
      <c r="W279" s="165">
        <f t="shared" si="54"/>
        <v>0</v>
      </c>
      <c r="X279" s="166">
        <f t="shared" si="45"/>
        <v>9985.2443063165574</v>
      </c>
    </row>
    <row r="280" spans="4:24">
      <c r="D280" s="9" t="s">
        <v>227</v>
      </c>
      <c r="E280" s="9" t="s">
        <v>2768</v>
      </c>
      <c r="F280" s="4" t="s">
        <v>172</v>
      </c>
      <c r="G280" s="9" t="s">
        <v>3320</v>
      </c>
      <c r="H280" s="164">
        <v>535325.44654494862</v>
      </c>
      <c r="I280" s="165">
        <v>36175.618092158911</v>
      </c>
      <c r="J280" s="165">
        <v>191527.95196883962</v>
      </c>
      <c r="K280" s="165">
        <v>63642.656345294919</v>
      </c>
      <c r="L280" s="177">
        <f t="shared" si="46"/>
        <v>726853.39851378824</v>
      </c>
      <c r="M280" s="166">
        <f t="shared" si="47"/>
        <v>99818.274437453831</v>
      </c>
      <c r="N280" s="189">
        <f>INDEX('CHIRP Payment Calc'!AM:AM,MATCH(F280,'CHIRP Payment Calc'!C:C,0))</f>
        <v>0.31</v>
      </c>
      <c r="O280" s="189">
        <f>INDEX('CHIRP Payment Calc'!AL:AL,MATCH(FeeCalc!F280,'CHIRP Payment Calc'!C:C,0))</f>
        <v>0</v>
      </c>
      <c r="P280" s="164">
        <f t="shared" si="44"/>
        <v>225324.55353927435</v>
      </c>
      <c r="Q280" s="165">
        <f t="shared" si="48"/>
        <v>10124.324758263883</v>
      </c>
      <c r="R280" s="165">
        <f t="shared" si="49"/>
        <v>3789.8084112983165</v>
      </c>
      <c r="S280" s="165">
        <f t="shared" si="50"/>
        <v>13914.133169562199</v>
      </c>
      <c r="T280" s="165">
        <f t="shared" si="51"/>
        <v>176075.21318719795</v>
      </c>
      <c r="U280" s="165">
        <f t="shared" si="52"/>
        <v>63163.473521638603</v>
      </c>
      <c r="V280" s="165">
        <f t="shared" si="53"/>
        <v>0</v>
      </c>
      <c r="W280" s="165">
        <f t="shared" si="54"/>
        <v>0</v>
      </c>
      <c r="X280" s="166">
        <f t="shared" si="45"/>
        <v>63163.473521638603</v>
      </c>
    </row>
    <row r="281" spans="4:24">
      <c r="D281" s="9" t="s">
        <v>227</v>
      </c>
      <c r="E281" s="9" t="s">
        <v>2768</v>
      </c>
      <c r="F281" s="4" t="s">
        <v>745</v>
      </c>
      <c r="G281" s="9" t="s">
        <v>3587</v>
      </c>
      <c r="H281" s="164">
        <v>111841.22010614164</v>
      </c>
      <c r="I281" s="165">
        <v>6723.716230097164</v>
      </c>
      <c r="J281" s="165">
        <v>15460.332187511551</v>
      </c>
      <c r="K281" s="165">
        <v>18914.925769880916</v>
      </c>
      <c r="L281" s="177">
        <f t="shared" si="46"/>
        <v>127301.55229365319</v>
      </c>
      <c r="M281" s="166">
        <f t="shared" si="47"/>
        <v>25638.641999978081</v>
      </c>
      <c r="N281" s="189">
        <f>INDEX('CHIRP Payment Calc'!AM:AM,MATCH(F281,'CHIRP Payment Calc'!C:C,0))</f>
        <v>0.28999999999999998</v>
      </c>
      <c r="O281" s="189">
        <f>INDEX('CHIRP Payment Calc'!AL:AL,MATCH(FeeCalc!F281,'CHIRP Payment Calc'!C:C,0))</f>
        <v>0</v>
      </c>
      <c r="P281" s="164">
        <f t="shared" si="44"/>
        <v>36917.450165159426</v>
      </c>
      <c r="Q281" s="165">
        <f t="shared" si="48"/>
        <v>1978.7292788009672</v>
      </c>
      <c r="R281" s="165">
        <f t="shared" si="49"/>
        <v>286.18061708797978</v>
      </c>
      <c r="S281" s="165">
        <f t="shared" si="50"/>
        <v>2264.9098958889472</v>
      </c>
      <c r="T281" s="165">
        <f t="shared" si="51"/>
        <v>34412.683109582038</v>
      </c>
      <c r="U281" s="165">
        <f t="shared" si="52"/>
        <v>4769.6769514663292</v>
      </c>
      <c r="V281" s="165">
        <f t="shared" si="53"/>
        <v>0</v>
      </c>
      <c r="W281" s="165">
        <f t="shared" si="54"/>
        <v>0</v>
      </c>
      <c r="X281" s="166">
        <f t="shared" si="45"/>
        <v>4769.6769514663292</v>
      </c>
    </row>
    <row r="282" spans="4:24">
      <c r="D282" s="9" t="s">
        <v>227</v>
      </c>
      <c r="E282" s="9" t="s">
        <v>2768</v>
      </c>
      <c r="F282" s="4" t="s">
        <v>1017</v>
      </c>
      <c r="G282" s="9" t="s">
        <v>3435</v>
      </c>
      <c r="H282" s="164">
        <v>1427971.2439271268</v>
      </c>
      <c r="I282" s="165">
        <v>1084988.0639655991</v>
      </c>
      <c r="J282" s="165">
        <v>218723.26027103909</v>
      </c>
      <c r="K282" s="165">
        <v>248075.22813280846</v>
      </c>
      <c r="L282" s="177">
        <f t="shared" si="46"/>
        <v>1646694.5041981658</v>
      </c>
      <c r="M282" s="166">
        <f t="shared" si="47"/>
        <v>1333063.2920984076</v>
      </c>
      <c r="N282" s="189">
        <f>INDEX('CHIRP Payment Calc'!AM:AM,MATCH(F282,'CHIRP Payment Calc'!C:C,0))</f>
        <v>0.28999999999999998</v>
      </c>
      <c r="O282" s="189">
        <f>INDEX('CHIRP Payment Calc'!AL:AL,MATCH(FeeCalc!F282,'CHIRP Payment Calc'!C:C,0))</f>
        <v>0</v>
      </c>
      <c r="P282" s="164">
        <f t="shared" si="44"/>
        <v>477541.40621746809</v>
      </c>
      <c r="Q282" s="165">
        <f t="shared" si="48"/>
        <v>25264.10662332609</v>
      </c>
      <c r="R282" s="165">
        <f t="shared" si="49"/>
        <v>4048.7071582085964</v>
      </c>
      <c r="S282" s="165">
        <f t="shared" si="50"/>
        <v>29312.813781534685</v>
      </c>
      <c r="T282" s="165">
        <f t="shared" si="51"/>
        <v>439375.76736219286</v>
      </c>
      <c r="U282" s="165">
        <f t="shared" si="52"/>
        <v>67478.452636809932</v>
      </c>
      <c r="V282" s="165">
        <f t="shared" si="53"/>
        <v>0</v>
      </c>
      <c r="W282" s="165">
        <f t="shared" si="54"/>
        <v>0</v>
      </c>
      <c r="X282" s="166">
        <f t="shared" si="45"/>
        <v>67478.452636809932</v>
      </c>
    </row>
    <row r="283" spans="4:24">
      <c r="D283" s="9" t="s">
        <v>227</v>
      </c>
      <c r="E283" s="9" t="s">
        <v>2768</v>
      </c>
      <c r="F283" s="4" t="s">
        <v>711</v>
      </c>
      <c r="G283" s="9" t="s">
        <v>3098</v>
      </c>
      <c r="H283" s="164">
        <v>146708.41496126662</v>
      </c>
      <c r="I283" s="165">
        <v>251.01773106359357</v>
      </c>
      <c r="J283" s="165">
        <v>88186.877168386331</v>
      </c>
      <c r="K283" s="165">
        <v>9051.2920722789531</v>
      </c>
      <c r="L283" s="177">
        <f t="shared" si="46"/>
        <v>234895.29212965295</v>
      </c>
      <c r="M283" s="166">
        <f t="shared" si="47"/>
        <v>9302.3098033425467</v>
      </c>
      <c r="N283" s="189">
        <f>INDEX('CHIRP Payment Calc'!AM:AM,MATCH(F283,'CHIRP Payment Calc'!C:C,0))</f>
        <v>0.41</v>
      </c>
      <c r="O283" s="189">
        <f>INDEX('CHIRP Payment Calc'!AL:AL,MATCH(FeeCalc!F283,'CHIRP Payment Calc'!C:C,0))</f>
        <v>0</v>
      </c>
      <c r="P283" s="164">
        <f t="shared" si="44"/>
        <v>96307.069773157709</v>
      </c>
      <c r="Q283" s="165">
        <f t="shared" si="48"/>
        <v>3669.6561089781012</v>
      </c>
      <c r="R283" s="165">
        <f t="shared" si="49"/>
        <v>2307.8693386620253</v>
      </c>
      <c r="S283" s="165">
        <f t="shared" si="50"/>
        <v>5977.525447640126</v>
      </c>
      <c r="T283" s="165">
        <f t="shared" si="51"/>
        <v>63820.106243097413</v>
      </c>
      <c r="U283" s="165">
        <f t="shared" si="52"/>
        <v>38464.488977700421</v>
      </c>
      <c r="V283" s="165">
        <f t="shared" si="53"/>
        <v>0</v>
      </c>
      <c r="W283" s="165">
        <f t="shared" si="54"/>
        <v>0</v>
      </c>
      <c r="X283" s="166">
        <f t="shared" si="45"/>
        <v>38464.488977700421</v>
      </c>
    </row>
    <row r="284" spans="4:24">
      <c r="D284" s="9" t="s">
        <v>227</v>
      </c>
      <c r="E284" s="9" t="s">
        <v>2768</v>
      </c>
      <c r="F284" s="4" t="s">
        <v>351</v>
      </c>
      <c r="G284" s="9" t="s">
        <v>3102</v>
      </c>
      <c r="H284" s="164">
        <v>234795.1599957112</v>
      </c>
      <c r="I284" s="165">
        <v>3460.9478765975509</v>
      </c>
      <c r="J284" s="165">
        <v>16845.862234267679</v>
      </c>
      <c r="K284" s="165">
        <v>483.28670530145951</v>
      </c>
      <c r="L284" s="177">
        <f t="shared" si="46"/>
        <v>251641.02222997887</v>
      </c>
      <c r="M284" s="166">
        <f t="shared" si="47"/>
        <v>3944.2345818990107</v>
      </c>
      <c r="N284" s="189">
        <f>INDEX('CHIRP Payment Calc'!AM:AM,MATCH(F284,'CHIRP Payment Calc'!C:C,0))</f>
        <v>0.64999999999999991</v>
      </c>
      <c r="O284" s="189">
        <f>INDEX('CHIRP Payment Calc'!AL:AL,MATCH(FeeCalc!F284,'CHIRP Payment Calc'!C:C,0))</f>
        <v>0</v>
      </c>
      <c r="P284" s="164">
        <f t="shared" si="44"/>
        <v>163566.66444948624</v>
      </c>
      <c r="Q284" s="165">
        <f t="shared" si="48"/>
        <v>9310.8425515540639</v>
      </c>
      <c r="R284" s="165">
        <f t="shared" si="49"/>
        <v>698.9240714217442</v>
      </c>
      <c r="S284" s="165">
        <f t="shared" si="50"/>
        <v>10009.766622975809</v>
      </c>
      <c r="T284" s="165">
        <f t="shared" si="51"/>
        <v>161927.69654876631</v>
      </c>
      <c r="U284" s="165">
        <f t="shared" si="52"/>
        <v>11648.734523695735</v>
      </c>
      <c r="V284" s="165">
        <f t="shared" si="53"/>
        <v>0</v>
      </c>
      <c r="W284" s="165">
        <f t="shared" si="54"/>
        <v>0</v>
      </c>
      <c r="X284" s="166">
        <f t="shared" si="45"/>
        <v>11648.734523695735</v>
      </c>
    </row>
    <row r="285" spans="4:24">
      <c r="D285" s="9" t="s">
        <v>227</v>
      </c>
      <c r="E285" s="9" t="s">
        <v>2768</v>
      </c>
      <c r="F285" s="4" t="s">
        <v>657</v>
      </c>
      <c r="G285" s="9" t="s">
        <v>3553</v>
      </c>
      <c r="H285" s="164">
        <v>745073.75717875559</v>
      </c>
      <c r="I285" s="165">
        <v>267046.92148993193</v>
      </c>
      <c r="J285" s="165">
        <v>62091.103087214913</v>
      </c>
      <c r="K285" s="165">
        <v>7718.7258852116702</v>
      </c>
      <c r="L285" s="177">
        <f t="shared" si="46"/>
        <v>807164.86026597046</v>
      </c>
      <c r="M285" s="166">
        <f t="shared" si="47"/>
        <v>274765.6473751436</v>
      </c>
      <c r="N285" s="189">
        <f>INDEX('CHIRP Payment Calc'!AM:AM,MATCH(F285,'CHIRP Payment Calc'!C:C,0))</f>
        <v>0.39999999999999997</v>
      </c>
      <c r="O285" s="189">
        <f>INDEX('CHIRP Payment Calc'!AL:AL,MATCH(FeeCalc!F285,'CHIRP Payment Calc'!C:C,0))</f>
        <v>0</v>
      </c>
      <c r="P285" s="164">
        <f t="shared" si="44"/>
        <v>322865.94410638814</v>
      </c>
      <c r="Q285" s="165">
        <f t="shared" si="48"/>
        <v>18182.171262717642</v>
      </c>
      <c r="R285" s="165">
        <f t="shared" si="49"/>
        <v>1585.3047596735726</v>
      </c>
      <c r="S285" s="165">
        <f t="shared" si="50"/>
        <v>19767.476022391216</v>
      </c>
      <c r="T285" s="165">
        <f t="shared" si="51"/>
        <v>316211.67413421982</v>
      </c>
      <c r="U285" s="165">
        <f t="shared" si="52"/>
        <v>26421.74599455954</v>
      </c>
      <c r="V285" s="165">
        <f t="shared" si="53"/>
        <v>0</v>
      </c>
      <c r="W285" s="165">
        <f t="shared" si="54"/>
        <v>0</v>
      </c>
      <c r="X285" s="166">
        <f t="shared" si="45"/>
        <v>26421.74599455954</v>
      </c>
    </row>
    <row r="286" spans="4:24">
      <c r="D286" s="9" t="s">
        <v>227</v>
      </c>
      <c r="E286" s="9" t="s">
        <v>2768</v>
      </c>
      <c r="F286" s="4" t="s">
        <v>820</v>
      </c>
      <c r="G286" s="9" t="s">
        <v>3104</v>
      </c>
      <c r="H286" s="164">
        <v>406915.60062124953</v>
      </c>
      <c r="I286" s="165">
        <v>169715.83323556973</v>
      </c>
      <c r="J286" s="165">
        <v>150459.60699203011</v>
      </c>
      <c r="K286" s="165">
        <v>28627.645149805867</v>
      </c>
      <c r="L286" s="177">
        <f t="shared" si="46"/>
        <v>557375.20761327958</v>
      </c>
      <c r="M286" s="166">
        <f t="shared" si="47"/>
        <v>198343.47838537561</v>
      </c>
      <c r="N286" s="189">
        <f>INDEX('CHIRP Payment Calc'!AM:AM,MATCH(F286,'CHIRP Payment Calc'!C:C,0))</f>
        <v>0.28999999999999998</v>
      </c>
      <c r="O286" s="189">
        <f>INDEX('CHIRP Payment Calc'!AL:AL,MATCH(FeeCalc!F286,'CHIRP Payment Calc'!C:C,0))</f>
        <v>0</v>
      </c>
      <c r="P286" s="164">
        <f t="shared" si="44"/>
        <v>161638.81020785106</v>
      </c>
      <c r="Q286" s="165">
        <f t="shared" si="48"/>
        <v>7199.2760109913379</v>
      </c>
      <c r="R286" s="165">
        <f t="shared" si="49"/>
        <v>2785.1033634694941</v>
      </c>
      <c r="S286" s="165">
        <f t="shared" si="50"/>
        <v>9984.379374460832</v>
      </c>
      <c r="T286" s="165">
        <f t="shared" si="51"/>
        <v>125204.8001911537</v>
      </c>
      <c r="U286" s="165">
        <f t="shared" si="52"/>
        <v>46418.389391158227</v>
      </c>
      <c r="V286" s="165">
        <f t="shared" si="53"/>
        <v>0</v>
      </c>
      <c r="W286" s="165">
        <f t="shared" si="54"/>
        <v>0</v>
      </c>
      <c r="X286" s="166">
        <f t="shared" si="45"/>
        <v>46418.389391158227</v>
      </c>
    </row>
    <row r="287" spans="4:24">
      <c r="D287" s="9" t="s">
        <v>227</v>
      </c>
      <c r="E287" s="9" t="s">
        <v>2768</v>
      </c>
      <c r="F287" s="4" t="s">
        <v>693</v>
      </c>
      <c r="G287" s="9" t="s">
        <v>2984</v>
      </c>
      <c r="H287" s="164">
        <v>533188.45471276704</v>
      </c>
      <c r="I287" s="165">
        <v>57977.180437787531</v>
      </c>
      <c r="J287" s="165">
        <v>210775.75455636153</v>
      </c>
      <c r="K287" s="165">
        <v>155255.08514576615</v>
      </c>
      <c r="L287" s="177">
        <f t="shared" si="46"/>
        <v>743964.20926912851</v>
      </c>
      <c r="M287" s="166">
        <f t="shared" si="47"/>
        <v>213232.26558355367</v>
      </c>
      <c r="N287" s="189">
        <f>INDEX('CHIRP Payment Calc'!AM:AM,MATCH(F287,'CHIRP Payment Calc'!C:C,0))</f>
        <v>0.36</v>
      </c>
      <c r="O287" s="189">
        <f>INDEX('CHIRP Payment Calc'!AL:AL,MATCH(FeeCalc!F287,'CHIRP Payment Calc'!C:C,0))</f>
        <v>0</v>
      </c>
      <c r="P287" s="164">
        <f t="shared" si="44"/>
        <v>267827.11533688626</v>
      </c>
      <c r="Q287" s="165">
        <f t="shared" si="48"/>
        <v>11710.345901914354</v>
      </c>
      <c r="R287" s="165">
        <f t="shared" si="49"/>
        <v>4843.3577642738401</v>
      </c>
      <c r="S287" s="165">
        <f t="shared" si="50"/>
        <v>16553.703666188194</v>
      </c>
      <c r="T287" s="165">
        <f t="shared" si="51"/>
        <v>203658.18959851051</v>
      </c>
      <c r="U287" s="165">
        <f t="shared" si="52"/>
        <v>80722.629404563995</v>
      </c>
      <c r="V287" s="165">
        <f t="shared" si="53"/>
        <v>0</v>
      </c>
      <c r="W287" s="165">
        <f t="shared" si="54"/>
        <v>0</v>
      </c>
      <c r="X287" s="166">
        <f t="shared" si="45"/>
        <v>80722.629404563995</v>
      </c>
    </row>
    <row r="288" spans="4:24">
      <c r="D288" s="9" t="s">
        <v>227</v>
      </c>
      <c r="E288" s="9" t="s">
        <v>2768</v>
      </c>
      <c r="F288" s="4" t="s">
        <v>896</v>
      </c>
      <c r="G288" s="9" t="s">
        <v>2997</v>
      </c>
      <c r="H288" s="164">
        <v>876702.40207289904</v>
      </c>
      <c r="I288" s="165">
        <v>1515080.0065794967</v>
      </c>
      <c r="J288" s="165">
        <v>65000.117468554039</v>
      </c>
      <c r="K288" s="165">
        <v>65877.648102609543</v>
      </c>
      <c r="L288" s="177">
        <f t="shared" si="46"/>
        <v>941702.5195414531</v>
      </c>
      <c r="M288" s="166">
        <f t="shared" si="47"/>
        <v>1580957.6546821061</v>
      </c>
      <c r="N288" s="189">
        <f>INDEX('CHIRP Payment Calc'!AM:AM,MATCH(F288,'CHIRP Payment Calc'!C:C,0))</f>
        <v>0.71</v>
      </c>
      <c r="O288" s="189">
        <f>INDEX('CHIRP Payment Calc'!AL:AL,MATCH(FeeCalc!F288,'CHIRP Payment Calc'!C:C,0))</f>
        <v>0</v>
      </c>
      <c r="P288" s="164">
        <f t="shared" si="44"/>
        <v>668608.78887443163</v>
      </c>
      <c r="Q288" s="165">
        <f t="shared" si="48"/>
        <v>37974.93428607544</v>
      </c>
      <c r="R288" s="165">
        <f t="shared" si="49"/>
        <v>2945.7500044259596</v>
      </c>
      <c r="S288" s="165">
        <f t="shared" si="50"/>
        <v>40920.684290501398</v>
      </c>
      <c r="T288" s="165">
        <f t="shared" si="51"/>
        <v>660433.63975783368</v>
      </c>
      <c r="U288" s="165">
        <f t="shared" si="52"/>
        <v>49095.833407099322</v>
      </c>
      <c r="V288" s="165">
        <f t="shared" si="53"/>
        <v>0</v>
      </c>
      <c r="W288" s="165">
        <f t="shared" si="54"/>
        <v>0</v>
      </c>
      <c r="X288" s="166">
        <f t="shared" si="45"/>
        <v>49095.833407099322</v>
      </c>
    </row>
    <row r="289" spans="4:24">
      <c r="D289" s="9" t="s">
        <v>227</v>
      </c>
      <c r="E289" s="9" t="s">
        <v>2768</v>
      </c>
      <c r="F289" s="4" t="s">
        <v>666</v>
      </c>
      <c r="G289" s="9" t="s">
        <v>3372</v>
      </c>
      <c r="H289" s="164">
        <v>644560.94085497747</v>
      </c>
      <c r="I289" s="165">
        <v>220536.23439663666</v>
      </c>
      <c r="J289" s="165">
        <v>115491.39626380129</v>
      </c>
      <c r="K289" s="165">
        <v>66549.69674920477</v>
      </c>
      <c r="L289" s="177">
        <f t="shared" si="46"/>
        <v>760052.33711877873</v>
      </c>
      <c r="M289" s="166">
        <f t="shared" si="47"/>
        <v>287085.93114584143</v>
      </c>
      <c r="N289" s="189">
        <f>INDEX('CHIRP Payment Calc'!AM:AM,MATCH(F289,'CHIRP Payment Calc'!C:C,0))</f>
        <v>0.41</v>
      </c>
      <c r="O289" s="189">
        <f>INDEX('CHIRP Payment Calc'!AL:AL,MATCH(FeeCalc!F289,'CHIRP Payment Calc'!C:C,0))</f>
        <v>0</v>
      </c>
      <c r="P289" s="164">
        <f t="shared" si="44"/>
        <v>311621.45821869926</v>
      </c>
      <c r="Q289" s="165">
        <f t="shared" si="48"/>
        <v>16122.572074966678</v>
      </c>
      <c r="R289" s="165">
        <f t="shared" si="49"/>
        <v>3022.4344128611829</v>
      </c>
      <c r="S289" s="165">
        <f t="shared" si="50"/>
        <v>19145.006487827861</v>
      </c>
      <c r="T289" s="165">
        <f t="shared" si="51"/>
        <v>280392.55782550742</v>
      </c>
      <c r="U289" s="165">
        <f t="shared" si="52"/>
        <v>50373.906881019713</v>
      </c>
      <c r="V289" s="165">
        <f t="shared" si="53"/>
        <v>0</v>
      </c>
      <c r="W289" s="165">
        <f t="shared" si="54"/>
        <v>0</v>
      </c>
      <c r="X289" s="166">
        <f t="shared" si="45"/>
        <v>50373.906881019713</v>
      </c>
    </row>
    <row r="290" spans="4:24">
      <c r="D290" s="9" t="s">
        <v>227</v>
      </c>
      <c r="E290" s="9" t="s">
        <v>2768</v>
      </c>
      <c r="F290" s="4" t="s">
        <v>472</v>
      </c>
      <c r="G290" s="9" t="s">
        <v>3105</v>
      </c>
      <c r="H290" s="164">
        <v>12899.802810238754</v>
      </c>
      <c r="I290" s="165">
        <v>11673069.516641328</v>
      </c>
      <c r="J290" s="165">
        <v>9690.9297527769941</v>
      </c>
      <c r="K290" s="165">
        <v>3803711.5076370784</v>
      </c>
      <c r="L290" s="177">
        <f t="shared" si="46"/>
        <v>22590.73256301575</v>
      </c>
      <c r="M290" s="166">
        <f t="shared" si="47"/>
        <v>15476781.024278406</v>
      </c>
      <c r="N290" s="189">
        <f>INDEX('CHIRP Payment Calc'!AM:AM,MATCH(F290,'CHIRP Payment Calc'!C:C,0))</f>
        <v>210.29</v>
      </c>
      <c r="O290" s="189">
        <f>INDEX('CHIRP Payment Calc'!AL:AL,MATCH(FeeCalc!F290,'CHIRP Payment Calc'!C:C,0))</f>
        <v>0</v>
      </c>
      <c r="P290" s="164">
        <f t="shared" si="44"/>
        <v>4750605.150676582</v>
      </c>
      <c r="Q290" s="165">
        <f t="shared" si="48"/>
        <v>165496.25797930363</v>
      </c>
      <c r="R290" s="165">
        <f t="shared" si="49"/>
        <v>130079.08198158347</v>
      </c>
      <c r="S290" s="165">
        <f t="shared" si="50"/>
        <v>295575.3399608871</v>
      </c>
      <c r="T290" s="165">
        <f t="shared" si="51"/>
        <v>2878195.790944411</v>
      </c>
      <c r="U290" s="165">
        <f t="shared" si="52"/>
        <v>2167984.6996930577</v>
      </c>
      <c r="V290" s="165">
        <f t="shared" si="53"/>
        <v>0</v>
      </c>
      <c r="W290" s="165">
        <f t="shared" si="54"/>
        <v>0</v>
      </c>
      <c r="X290" s="166">
        <f t="shared" si="45"/>
        <v>2167984.6996930577</v>
      </c>
    </row>
    <row r="291" spans="4:24">
      <c r="D291" s="9" t="s">
        <v>227</v>
      </c>
      <c r="E291" s="9" t="s">
        <v>2768</v>
      </c>
      <c r="F291" s="4" t="s">
        <v>315</v>
      </c>
      <c r="G291" s="9" t="s">
        <v>1786</v>
      </c>
      <c r="H291" s="164">
        <v>548014.88584134623</v>
      </c>
      <c r="I291" s="165">
        <v>780916.33303535683</v>
      </c>
      <c r="J291" s="165">
        <v>113955.2302279143</v>
      </c>
      <c r="K291" s="165">
        <v>149284.21948992848</v>
      </c>
      <c r="L291" s="177">
        <f t="shared" si="46"/>
        <v>661970.11606926052</v>
      </c>
      <c r="M291" s="166">
        <f t="shared" si="47"/>
        <v>930200.55252528528</v>
      </c>
      <c r="N291" s="189">
        <f>INDEX('CHIRP Payment Calc'!AM:AM,MATCH(F291,'CHIRP Payment Calc'!C:C,0))</f>
        <v>0.45999999999999996</v>
      </c>
      <c r="O291" s="189">
        <f>INDEX('CHIRP Payment Calc'!AL:AL,MATCH(FeeCalc!F291,'CHIRP Payment Calc'!C:C,0))</f>
        <v>0</v>
      </c>
      <c r="P291" s="164">
        <f t="shared" si="44"/>
        <v>304506.25339185982</v>
      </c>
      <c r="Q291" s="165">
        <f t="shared" si="48"/>
        <v>15379.303692842024</v>
      </c>
      <c r="R291" s="165">
        <f t="shared" si="49"/>
        <v>3345.9195258408886</v>
      </c>
      <c r="S291" s="165">
        <f t="shared" si="50"/>
        <v>18725.223218682913</v>
      </c>
      <c r="T291" s="165">
        <f t="shared" si="51"/>
        <v>267466.15117986128</v>
      </c>
      <c r="U291" s="165">
        <f t="shared" si="52"/>
        <v>55765.325430681471</v>
      </c>
      <c r="V291" s="165">
        <f t="shared" si="53"/>
        <v>0</v>
      </c>
      <c r="W291" s="165">
        <f t="shared" si="54"/>
        <v>0</v>
      </c>
      <c r="X291" s="166">
        <f t="shared" si="45"/>
        <v>55765.325430681471</v>
      </c>
    </row>
    <row r="292" spans="4:24">
      <c r="D292" s="9" t="s">
        <v>227</v>
      </c>
      <c r="E292" s="9" t="s">
        <v>2768</v>
      </c>
      <c r="F292" s="4" t="s">
        <v>669</v>
      </c>
      <c r="G292" s="9" t="s">
        <v>3315</v>
      </c>
      <c r="H292" s="164">
        <v>878028.94719485822</v>
      </c>
      <c r="I292" s="165">
        <v>336615.24033052666</v>
      </c>
      <c r="J292" s="165">
        <v>103930.51317100209</v>
      </c>
      <c r="K292" s="165">
        <v>115075.29409898592</v>
      </c>
      <c r="L292" s="177">
        <f t="shared" si="46"/>
        <v>981959.46036586026</v>
      </c>
      <c r="M292" s="166">
        <f t="shared" si="47"/>
        <v>451690.53442951257</v>
      </c>
      <c r="N292" s="189">
        <f>INDEX('CHIRP Payment Calc'!AM:AM,MATCH(F292,'CHIRP Payment Calc'!C:C,0))</f>
        <v>0.39</v>
      </c>
      <c r="O292" s="189">
        <f>INDEX('CHIRP Payment Calc'!AL:AL,MATCH(FeeCalc!F292,'CHIRP Payment Calc'!C:C,0))</f>
        <v>0</v>
      </c>
      <c r="P292" s="164">
        <f t="shared" si="44"/>
        <v>382964.18954268552</v>
      </c>
      <c r="Q292" s="165">
        <f t="shared" si="48"/>
        <v>20891.033571188007</v>
      </c>
      <c r="R292" s="165">
        <f t="shared" si="49"/>
        <v>2587.2063917036699</v>
      </c>
      <c r="S292" s="165">
        <f t="shared" si="50"/>
        <v>23478.239962891676</v>
      </c>
      <c r="T292" s="165">
        <f t="shared" si="51"/>
        <v>363322.32297718275</v>
      </c>
      <c r="U292" s="165">
        <f t="shared" si="52"/>
        <v>43120.106528394492</v>
      </c>
      <c r="V292" s="165">
        <f t="shared" si="53"/>
        <v>0</v>
      </c>
      <c r="W292" s="165">
        <f t="shared" si="54"/>
        <v>0</v>
      </c>
      <c r="X292" s="166">
        <f t="shared" si="45"/>
        <v>43120.106528394492</v>
      </c>
    </row>
    <row r="293" spans="4:24">
      <c r="D293" s="9" t="s">
        <v>227</v>
      </c>
      <c r="E293" s="9" t="s">
        <v>2768</v>
      </c>
      <c r="F293" s="4" t="s">
        <v>766</v>
      </c>
      <c r="G293" s="9" t="s">
        <v>3512</v>
      </c>
      <c r="H293" s="164">
        <v>1185733.5230162335</v>
      </c>
      <c r="I293" s="165">
        <v>1165881.9163623003</v>
      </c>
      <c r="J293" s="165">
        <v>183261.95754641292</v>
      </c>
      <c r="K293" s="165">
        <v>51496.701197076822</v>
      </c>
      <c r="L293" s="177">
        <f t="shared" si="46"/>
        <v>1368995.4805626464</v>
      </c>
      <c r="M293" s="166">
        <f t="shared" si="47"/>
        <v>1217378.6175593771</v>
      </c>
      <c r="N293" s="189">
        <f>INDEX('CHIRP Payment Calc'!AM:AM,MATCH(F293,'CHIRP Payment Calc'!C:C,0))</f>
        <v>0.31999999999999995</v>
      </c>
      <c r="O293" s="189">
        <f>INDEX('CHIRP Payment Calc'!AL:AL,MATCH(FeeCalc!F293,'CHIRP Payment Calc'!C:C,0))</f>
        <v>0</v>
      </c>
      <c r="P293" s="164">
        <f t="shared" si="44"/>
        <v>438078.55378004676</v>
      </c>
      <c r="Q293" s="165">
        <f t="shared" si="48"/>
        <v>23148.537743765195</v>
      </c>
      <c r="R293" s="165">
        <f t="shared" si="49"/>
        <v>3743.2229626501357</v>
      </c>
      <c r="S293" s="165">
        <f t="shared" si="50"/>
        <v>26891.760706415331</v>
      </c>
      <c r="T293" s="165">
        <f t="shared" si="51"/>
        <v>402583.26510895987</v>
      </c>
      <c r="U293" s="165">
        <f t="shared" si="52"/>
        <v>62387.049377502255</v>
      </c>
      <c r="V293" s="165">
        <f t="shared" si="53"/>
        <v>0</v>
      </c>
      <c r="W293" s="165">
        <f t="shared" si="54"/>
        <v>0</v>
      </c>
      <c r="X293" s="166">
        <f t="shared" si="45"/>
        <v>62387.049377502255</v>
      </c>
    </row>
    <row r="294" spans="4:24">
      <c r="D294" s="9" t="s">
        <v>227</v>
      </c>
      <c r="E294" s="9" t="s">
        <v>2768</v>
      </c>
      <c r="F294" s="4" t="s">
        <v>845</v>
      </c>
      <c r="G294" s="9" t="s">
        <v>3448</v>
      </c>
      <c r="H294" s="164">
        <v>898980.07007508248</v>
      </c>
      <c r="I294" s="165">
        <v>1302001.6796704389</v>
      </c>
      <c r="J294" s="165">
        <v>44884.364661390362</v>
      </c>
      <c r="K294" s="165">
        <v>103044.769601056</v>
      </c>
      <c r="L294" s="177">
        <f t="shared" si="46"/>
        <v>943864.43473647279</v>
      </c>
      <c r="M294" s="166">
        <f t="shared" si="47"/>
        <v>1405046.449271495</v>
      </c>
      <c r="N294" s="189">
        <f>INDEX('CHIRP Payment Calc'!AM:AM,MATCH(F294,'CHIRP Payment Calc'!C:C,0))</f>
        <v>0.41</v>
      </c>
      <c r="O294" s="189">
        <f>INDEX('CHIRP Payment Calc'!AL:AL,MATCH(FeeCalc!F294,'CHIRP Payment Calc'!C:C,0))</f>
        <v>0</v>
      </c>
      <c r="P294" s="164">
        <f t="shared" si="44"/>
        <v>386984.41824195383</v>
      </c>
      <c r="Q294" s="165">
        <f t="shared" si="48"/>
        <v>22486.424564477526</v>
      </c>
      <c r="R294" s="165">
        <f t="shared" si="49"/>
        <v>1174.6333730534075</v>
      </c>
      <c r="S294" s="165">
        <f t="shared" si="50"/>
        <v>23661.057937530932</v>
      </c>
      <c r="T294" s="165">
        <f t="shared" si="51"/>
        <v>391068.2532952613</v>
      </c>
      <c r="U294" s="165">
        <f t="shared" si="52"/>
        <v>19577.222884223458</v>
      </c>
      <c r="V294" s="165">
        <f t="shared" si="53"/>
        <v>0</v>
      </c>
      <c r="W294" s="165">
        <f t="shared" si="54"/>
        <v>0</v>
      </c>
      <c r="X294" s="166">
        <f t="shared" si="45"/>
        <v>19577.222884223458</v>
      </c>
    </row>
    <row r="295" spans="4:24">
      <c r="D295" s="9" t="s">
        <v>227</v>
      </c>
      <c r="E295" s="9" t="s">
        <v>2768</v>
      </c>
      <c r="F295" s="4" t="s">
        <v>802</v>
      </c>
      <c r="G295" s="9" t="s">
        <v>3377</v>
      </c>
      <c r="H295" s="164">
        <v>256811.9943222866</v>
      </c>
      <c r="I295" s="165">
        <v>30473.253895107617</v>
      </c>
      <c r="J295" s="165">
        <v>85735.67965247453</v>
      </c>
      <c r="K295" s="165">
        <v>2466.1052748736829</v>
      </c>
      <c r="L295" s="177">
        <f t="shared" si="46"/>
        <v>342547.67397476116</v>
      </c>
      <c r="M295" s="166">
        <f t="shared" si="47"/>
        <v>32939.359169981297</v>
      </c>
      <c r="N295" s="189">
        <f>INDEX('CHIRP Payment Calc'!AM:AM,MATCH(F295,'CHIRP Payment Calc'!C:C,0))</f>
        <v>0.31999999999999995</v>
      </c>
      <c r="O295" s="189">
        <f>INDEX('CHIRP Payment Calc'!AL:AL,MATCH(FeeCalc!F295,'CHIRP Payment Calc'!C:C,0))</f>
        <v>0</v>
      </c>
      <c r="P295" s="164">
        <f t="shared" si="44"/>
        <v>109615.25567192356</v>
      </c>
      <c r="Q295" s="165">
        <f t="shared" si="48"/>
        <v>5013.624080138009</v>
      </c>
      <c r="R295" s="165">
        <f t="shared" si="49"/>
        <v>1751.1968609867138</v>
      </c>
      <c r="S295" s="165">
        <f t="shared" si="50"/>
        <v>6764.8209411247226</v>
      </c>
      <c r="T295" s="165">
        <f t="shared" si="51"/>
        <v>87193.462263269714</v>
      </c>
      <c r="U295" s="165">
        <f t="shared" si="52"/>
        <v>29186.61434977856</v>
      </c>
      <c r="V295" s="165">
        <f t="shared" si="53"/>
        <v>0</v>
      </c>
      <c r="W295" s="165">
        <f t="shared" si="54"/>
        <v>0</v>
      </c>
      <c r="X295" s="166">
        <f t="shared" si="45"/>
        <v>29186.61434977856</v>
      </c>
    </row>
    <row r="296" spans="4:24">
      <c r="D296" s="9" t="s">
        <v>227</v>
      </c>
      <c r="E296" s="9" t="s">
        <v>2768</v>
      </c>
      <c r="F296" s="4" t="s">
        <v>360</v>
      </c>
      <c r="G296" s="9" t="s">
        <v>3150</v>
      </c>
      <c r="H296" s="164">
        <v>758271.35734105622</v>
      </c>
      <c r="I296" s="165">
        <v>906245.96257200337</v>
      </c>
      <c r="J296" s="165">
        <v>116490.12531570134</v>
      </c>
      <c r="K296" s="165">
        <v>138164.07403012857</v>
      </c>
      <c r="L296" s="177">
        <f t="shared" si="46"/>
        <v>874761.48265675758</v>
      </c>
      <c r="M296" s="166">
        <f t="shared" si="47"/>
        <v>1044410.0366021319</v>
      </c>
      <c r="N296" s="189">
        <f>INDEX('CHIRP Payment Calc'!AM:AM,MATCH(F296,'CHIRP Payment Calc'!C:C,0))</f>
        <v>0.39999999999999997</v>
      </c>
      <c r="O296" s="189">
        <f>INDEX('CHIRP Payment Calc'!AL:AL,MATCH(FeeCalc!F296,'CHIRP Payment Calc'!C:C,0))</f>
        <v>0</v>
      </c>
      <c r="P296" s="164">
        <f t="shared" si="44"/>
        <v>349904.59306270297</v>
      </c>
      <c r="Q296" s="165">
        <f t="shared" si="48"/>
        <v>18504.234714954157</v>
      </c>
      <c r="R296" s="165">
        <f t="shared" si="49"/>
        <v>2974.2159655072683</v>
      </c>
      <c r="S296" s="165">
        <f t="shared" si="50"/>
        <v>21478.450680461425</v>
      </c>
      <c r="T296" s="165">
        <f t="shared" si="51"/>
        <v>321812.77765137661</v>
      </c>
      <c r="U296" s="165">
        <f t="shared" si="52"/>
        <v>49570.266091787802</v>
      </c>
      <c r="V296" s="165">
        <f t="shared" si="53"/>
        <v>0</v>
      </c>
      <c r="W296" s="165">
        <f t="shared" si="54"/>
        <v>0</v>
      </c>
      <c r="X296" s="166">
        <f t="shared" si="45"/>
        <v>49570.266091787802</v>
      </c>
    </row>
    <row r="297" spans="4:24">
      <c r="D297" s="9" t="s">
        <v>227</v>
      </c>
      <c r="E297" s="9" t="s">
        <v>2768</v>
      </c>
      <c r="F297" s="4" t="s">
        <v>736</v>
      </c>
      <c r="G297" s="9" t="s">
        <v>3101</v>
      </c>
      <c r="H297" s="164">
        <v>331429.54141258408</v>
      </c>
      <c r="I297" s="165">
        <v>5148.3439904806755</v>
      </c>
      <c r="J297" s="165">
        <v>172305.27621125031</v>
      </c>
      <c r="K297" s="165">
        <v>34321.840733170859</v>
      </c>
      <c r="L297" s="177">
        <f t="shared" si="46"/>
        <v>503734.81762383436</v>
      </c>
      <c r="M297" s="166">
        <f t="shared" si="47"/>
        <v>39470.184723651531</v>
      </c>
      <c r="N297" s="189">
        <f>INDEX('CHIRP Payment Calc'!AM:AM,MATCH(F297,'CHIRP Payment Calc'!C:C,0))</f>
        <v>0.28999999999999998</v>
      </c>
      <c r="O297" s="189">
        <f>INDEX('CHIRP Payment Calc'!AL:AL,MATCH(FeeCalc!F297,'CHIRP Payment Calc'!C:C,0))</f>
        <v>0</v>
      </c>
      <c r="P297" s="164">
        <f t="shared" si="44"/>
        <v>146083.09711091194</v>
      </c>
      <c r="Q297" s="165">
        <f t="shared" si="48"/>
        <v>5863.7534249918726</v>
      </c>
      <c r="R297" s="165">
        <f t="shared" si="49"/>
        <v>3189.4806447614419</v>
      </c>
      <c r="S297" s="165">
        <f t="shared" si="50"/>
        <v>9053.2340697533145</v>
      </c>
      <c r="T297" s="165">
        <f t="shared" si="51"/>
        <v>101978.32043464125</v>
      </c>
      <c r="U297" s="165">
        <f t="shared" si="52"/>
        <v>53158.010746024025</v>
      </c>
      <c r="V297" s="165">
        <f t="shared" si="53"/>
        <v>0</v>
      </c>
      <c r="W297" s="165">
        <f t="shared" si="54"/>
        <v>0</v>
      </c>
      <c r="X297" s="166">
        <f t="shared" si="45"/>
        <v>53158.010746024025</v>
      </c>
    </row>
    <row r="298" spans="4:24">
      <c r="D298" s="9" t="s">
        <v>227</v>
      </c>
      <c r="E298" s="9" t="s">
        <v>2768</v>
      </c>
      <c r="F298" s="4" t="s">
        <v>699</v>
      </c>
      <c r="G298" s="9" t="s">
        <v>2874</v>
      </c>
      <c r="H298" s="164">
        <v>422229.86621088849</v>
      </c>
      <c r="I298" s="165">
        <v>75319.745519109361</v>
      </c>
      <c r="J298" s="165">
        <v>112222.20779152434</v>
      </c>
      <c r="K298" s="165">
        <v>108881.01078696588</v>
      </c>
      <c r="L298" s="177">
        <f t="shared" si="46"/>
        <v>534452.07400241285</v>
      </c>
      <c r="M298" s="166">
        <f t="shared" si="47"/>
        <v>184200.75630607526</v>
      </c>
      <c r="N298" s="189">
        <f>INDEX('CHIRP Payment Calc'!AM:AM,MATCH(F298,'CHIRP Payment Calc'!C:C,0))</f>
        <v>0.6</v>
      </c>
      <c r="O298" s="189">
        <f>INDEX('CHIRP Payment Calc'!AL:AL,MATCH(FeeCalc!F298,'CHIRP Payment Calc'!C:C,0))</f>
        <v>0</v>
      </c>
      <c r="P298" s="164">
        <f t="shared" si="44"/>
        <v>320671.24440144771</v>
      </c>
      <c r="Q298" s="165">
        <f t="shared" si="48"/>
        <v>15455.629054934381</v>
      </c>
      <c r="R298" s="165">
        <f t="shared" si="49"/>
        <v>4297.8717877605068</v>
      </c>
      <c r="S298" s="165">
        <f t="shared" si="50"/>
        <v>19753.500842694888</v>
      </c>
      <c r="T298" s="165">
        <f t="shared" si="51"/>
        <v>268793.54878146749</v>
      </c>
      <c r="U298" s="165">
        <f t="shared" si="52"/>
        <v>71631.196462675114</v>
      </c>
      <c r="V298" s="165">
        <f t="shared" si="53"/>
        <v>0</v>
      </c>
      <c r="W298" s="165">
        <f t="shared" si="54"/>
        <v>0</v>
      </c>
      <c r="X298" s="166">
        <f t="shared" si="45"/>
        <v>71631.196462675114</v>
      </c>
    </row>
    <row r="299" spans="4:24">
      <c r="D299" s="9" t="s">
        <v>227</v>
      </c>
      <c r="E299" s="9" t="s">
        <v>2768</v>
      </c>
      <c r="F299" s="4" t="s">
        <v>156</v>
      </c>
      <c r="G299" s="9" t="s">
        <v>3319</v>
      </c>
      <c r="H299" s="164">
        <v>628723.13559215632</v>
      </c>
      <c r="I299" s="165">
        <v>62793.244418472234</v>
      </c>
      <c r="J299" s="165">
        <v>224360.27848097286</v>
      </c>
      <c r="K299" s="165">
        <v>83873.777383782974</v>
      </c>
      <c r="L299" s="177">
        <f t="shared" si="46"/>
        <v>853083.41407312918</v>
      </c>
      <c r="M299" s="166">
        <f t="shared" si="47"/>
        <v>146667.02180225521</v>
      </c>
      <c r="N299" s="189">
        <f>INDEX('CHIRP Payment Calc'!AM:AM,MATCH(F299,'CHIRP Payment Calc'!C:C,0))</f>
        <v>0.48</v>
      </c>
      <c r="O299" s="189">
        <f>INDEX('CHIRP Payment Calc'!AL:AL,MATCH(FeeCalc!F299,'CHIRP Payment Calc'!C:C,0))</f>
        <v>0</v>
      </c>
      <c r="P299" s="164">
        <f t="shared" si="44"/>
        <v>409480.03875510197</v>
      </c>
      <c r="Q299" s="165">
        <f t="shared" si="48"/>
        <v>18411.414899038213</v>
      </c>
      <c r="R299" s="165">
        <f t="shared" si="49"/>
        <v>6874.0170428212959</v>
      </c>
      <c r="S299" s="165">
        <f t="shared" si="50"/>
        <v>25285.431941859508</v>
      </c>
      <c r="T299" s="165">
        <f t="shared" si="51"/>
        <v>320198.51998327323</v>
      </c>
      <c r="U299" s="165">
        <f t="shared" si="52"/>
        <v>114566.95071368826</v>
      </c>
      <c r="V299" s="165">
        <f t="shared" si="53"/>
        <v>0</v>
      </c>
      <c r="W299" s="165">
        <f t="shared" si="54"/>
        <v>0</v>
      </c>
      <c r="X299" s="166">
        <f t="shared" si="45"/>
        <v>114566.95071368826</v>
      </c>
    </row>
    <row r="300" spans="4:24">
      <c r="D300" s="9" t="s">
        <v>227</v>
      </c>
      <c r="E300" s="9" t="s">
        <v>2768</v>
      </c>
      <c r="F300" s="4" t="s">
        <v>957</v>
      </c>
      <c r="G300" s="9" t="s">
        <v>3581</v>
      </c>
      <c r="H300" s="164">
        <v>1226782.9499033454</v>
      </c>
      <c r="I300" s="165">
        <v>1602411.2704706837</v>
      </c>
      <c r="J300" s="165">
        <v>432721.29096587113</v>
      </c>
      <c r="K300" s="165">
        <v>862331.17882126104</v>
      </c>
      <c r="L300" s="177">
        <f t="shared" si="46"/>
        <v>1659504.2408692166</v>
      </c>
      <c r="M300" s="166">
        <f t="shared" si="47"/>
        <v>2464742.4492919445</v>
      </c>
      <c r="N300" s="189">
        <f>INDEX('CHIRP Payment Calc'!AM:AM,MATCH(F300,'CHIRP Payment Calc'!C:C,0))</f>
        <v>0.33999999999999997</v>
      </c>
      <c r="O300" s="189">
        <f>INDEX('CHIRP Payment Calc'!AL:AL,MATCH(FeeCalc!F300,'CHIRP Payment Calc'!C:C,0))</f>
        <v>0</v>
      </c>
      <c r="P300" s="164">
        <f t="shared" si="44"/>
        <v>564231.44189553359</v>
      </c>
      <c r="Q300" s="165">
        <f t="shared" si="48"/>
        <v>25446.797528499101</v>
      </c>
      <c r="R300" s="165">
        <f t="shared" si="49"/>
        <v>9390.972697557203</v>
      </c>
      <c r="S300" s="165">
        <f t="shared" si="50"/>
        <v>34837.770226056302</v>
      </c>
      <c r="T300" s="165">
        <f t="shared" si="51"/>
        <v>442553.00049563654</v>
      </c>
      <c r="U300" s="165">
        <f t="shared" si="52"/>
        <v>156516.21162595338</v>
      </c>
      <c r="V300" s="165">
        <f t="shared" si="53"/>
        <v>0</v>
      </c>
      <c r="W300" s="165">
        <f t="shared" si="54"/>
        <v>0</v>
      </c>
      <c r="X300" s="166">
        <f t="shared" si="45"/>
        <v>156516.21162595338</v>
      </c>
    </row>
    <row r="301" spans="4:24">
      <c r="D301" s="9" t="s">
        <v>227</v>
      </c>
      <c r="E301" s="9" t="s">
        <v>2768</v>
      </c>
      <c r="F301" s="4" t="s">
        <v>733</v>
      </c>
      <c r="G301" s="9" t="s">
        <v>3565</v>
      </c>
      <c r="H301" s="164">
        <v>222268.32035019071</v>
      </c>
      <c r="I301" s="165">
        <v>22858.780518730531</v>
      </c>
      <c r="J301" s="165">
        <v>10466.510653172811</v>
      </c>
      <c r="K301" s="165">
        <v>0</v>
      </c>
      <c r="L301" s="177">
        <f t="shared" si="46"/>
        <v>232734.83100336354</v>
      </c>
      <c r="M301" s="166">
        <f t="shared" si="47"/>
        <v>22858.780518730531</v>
      </c>
      <c r="N301" s="189">
        <f>INDEX('CHIRP Payment Calc'!AM:AM,MATCH(F301,'CHIRP Payment Calc'!C:C,0))</f>
        <v>0.28999999999999998</v>
      </c>
      <c r="O301" s="189">
        <f>INDEX('CHIRP Payment Calc'!AL:AL,MATCH(FeeCalc!F301,'CHIRP Payment Calc'!C:C,0))</f>
        <v>0</v>
      </c>
      <c r="P301" s="164">
        <f t="shared" si="44"/>
        <v>67493.100990975421</v>
      </c>
      <c r="Q301" s="165">
        <f t="shared" si="48"/>
        <v>3932.4395138879895</v>
      </c>
      <c r="R301" s="165">
        <f t="shared" si="49"/>
        <v>193.74179294170949</v>
      </c>
      <c r="S301" s="165">
        <f t="shared" si="50"/>
        <v>4126.1813068296988</v>
      </c>
      <c r="T301" s="165">
        <f t="shared" si="51"/>
        <v>68390.25241544329</v>
      </c>
      <c r="U301" s="165">
        <f t="shared" si="52"/>
        <v>3229.0298823618245</v>
      </c>
      <c r="V301" s="165">
        <f t="shared" si="53"/>
        <v>0</v>
      </c>
      <c r="W301" s="165">
        <f t="shared" si="54"/>
        <v>0</v>
      </c>
      <c r="X301" s="166">
        <f t="shared" si="45"/>
        <v>3229.0298823618245</v>
      </c>
    </row>
    <row r="302" spans="4:24">
      <c r="D302" s="9" t="s">
        <v>227</v>
      </c>
      <c r="E302" s="9" t="s">
        <v>3389</v>
      </c>
      <c r="F302" s="4" t="s">
        <v>2786</v>
      </c>
      <c r="G302" s="9" t="s">
        <v>3360</v>
      </c>
      <c r="H302" s="164">
        <v>0</v>
      </c>
      <c r="I302" s="165">
        <v>151732.05124263777</v>
      </c>
      <c r="J302" s="165">
        <v>0</v>
      </c>
      <c r="K302" s="165">
        <v>0</v>
      </c>
      <c r="L302" s="177">
        <f t="shared" si="46"/>
        <v>0</v>
      </c>
      <c r="M302" s="166">
        <f t="shared" si="47"/>
        <v>151732.05124263777</v>
      </c>
      <c r="N302" s="189">
        <f>INDEX('CHIRP Payment Calc'!AM:AM,MATCH(F302,'CHIRP Payment Calc'!C:C,0))</f>
        <v>0</v>
      </c>
      <c r="O302" s="189">
        <f>INDEX('CHIRP Payment Calc'!AL:AL,MATCH(FeeCalc!F302,'CHIRP Payment Calc'!C:C,0))</f>
        <v>1.06</v>
      </c>
      <c r="P302" s="164">
        <f t="shared" si="44"/>
        <v>160835.97431719603</v>
      </c>
      <c r="Q302" s="165">
        <f t="shared" si="48"/>
        <v>9812.2742952135523</v>
      </c>
      <c r="R302" s="165">
        <f t="shared" si="49"/>
        <v>0</v>
      </c>
      <c r="S302" s="165">
        <f t="shared" si="50"/>
        <v>9812.2742952135523</v>
      </c>
      <c r="T302" s="165">
        <f t="shared" si="51"/>
        <v>0</v>
      </c>
      <c r="U302" s="165">
        <f t="shared" si="52"/>
        <v>0</v>
      </c>
      <c r="V302" s="165">
        <f t="shared" si="53"/>
        <v>170648.2486124096</v>
      </c>
      <c r="W302" s="165">
        <f t="shared" si="54"/>
        <v>0</v>
      </c>
      <c r="X302" s="166">
        <f t="shared" si="45"/>
        <v>0</v>
      </c>
    </row>
    <row r="303" spans="4:24">
      <c r="D303" s="9" t="s">
        <v>227</v>
      </c>
      <c r="E303" s="9" t="s">
        <v>3389</v>
      </c>
      <c r="F303" s="4" t="s">
        <v>2799</v>
      </c>
      <c r="G303" s="9" t="s">
        <v>3358</v>
      </c>
      <c r="H303" s="164">
        <v>0</v>
      </c>
      <c r="I303" s="165">
        <v>0</v>
      </c>
      <c r="J303" s="165">
        <v>0</v>
      </c>
      <c r="K303" s="165">
        <v>0</v>
      </c>
      <c r="L303" s="177">
        <f t="shared" si="46"/>
        <v>0</v>
      </c>
      <c r="M303" s="166">
        <f t="shared" si="47"/>
        <v>0</v>
      </c>
      <c r="N303" s="189">
        <f>INDEX('CHIRP Payment Calc'!AM:AM,MATCH(F303,'CHIRP Payment Calc'!C:C,0))</f>
        <v>0</v>
      </c>
      <c r="O303" s="189">
        <f>INDEX('CHIRP Payment Calc'!AL:AL,MATCH(FeeCalc!F303,'CHIRP Payment Calc'!C:C,0))</f>
        <v>1.06</v>
      </c>
      <c r="P303" s="164">
        <f t="shared" si="44"/>
        <v>0</v>
      </c>
      <c r="Q303" s="165">
        <f t="shared" si="48"/>
        <v>0</v>
      </c>
      <c r="R303" s="165">
        <f t="shared" si="49"/>
        <v>0</v>
      </c>
      <c r="S303" s="165">
        <f t="shared" si="50"/>
        <v>0</v>
      </c>
      <c r="T303" s="165">
        <f t="shared" si="51"/>
        <v>0</v>
      </c>
      <c r="U303" s="165">
        <f t="shared" si="52"/>
        <v>0</v>
      </c>
      <c r="V303" s="165">
        <f t="shared" si="53"/>
        <v>0</v>
      </c>
      <c r="W303" s="165">
        <f t="shared" si="54"/>
        <v>0</v>
      </c>
      <c r="X303" s="166">
        <f t="shared" si="45"/>
        <v>0</v>
      </c>
    </row>
    <row r="304" spans="4:24">
      <c r="D304" s="9" t="s">
        <v>227</v>
      </c>
      <c r="E304" s="9" t="s">
        <v>3389</v>
      </c>
      <c r="F304" s="4" t="s">
        <v>2784</v>
      </c>
      <c r="G304" s="9" t="s">
        <v>3359</v>
      </c>
      <c r="H304" s="164">
        <v>0</v>
      </c>
      <c r="I304" s="165">
        <v>115830.17969177544</v>
      </c>
      <c r="J304" s="165">
        <v>0</v>
      </c>
      <c r="K304" s="165">
        <v>0</v>
      </c>
      <c r="L304" s="177">
        <f t="shared" si="46"/>
        <v>0</v>
      </c>
      <c r="M304" s="166">
        <f t="shared" si="47"/>
        <v>115830.17969177544</v>
      </c>
      <c r="N304" s="189">
        <f>INDEX('CHIRP Payment Calc'!AM:AM,MATCH(F304,'CHIRP Payment Calc'!C:C,0))</f>
        <v>0</v>
      </c>
      <c r="O304" s="189">
        <f>INDEX('CHIRP Payment Calc'!AL:AL,MATCH(FeeCalc!F304,'CHIRP Payment Calc'!C:C,0))</f>
        <v>1.06</v>
      </c>
      <c r="P304" s="164">
        <f t="shared" si="44"/>
        <v>122779.99047328197</v>
      </c>
      <c r="Q304" s="165">
        <f t="shared" si="48"/>
        <v>7490.5564479721097</v>
      </c>
      <c r="R304" s="165">
        <f t="shared" si="49"/>
        <v>0</v>
      </c>
      <c r="S304" s="165">
        <f t="shared" si="50"/>
        <v>7490.5564479721097</v>
      </c>
      <c r="T304" s="165">
        <f t="shared" si="51"/>
        <v>0</v>
      </c>
      <c r="U304" s="165">
        <f t="shared" si="52"/>
        <v>0</v>
      </c>
      <c r="V304" s="165">
        <f t="shared" si="53"/>
        <v>130270.54692125408</v>
      </c>
      <c r="W304" s="165">
        <f t="shared" si="54"/>
        <v>0</v>
      </c>
      <c r="X304" s="166">
        <f t="shared" si="45"/>
        <v>0</v>
      </c>
    </row>
    <row r="305" spans="4:24">
      <c r="D305" s="9" t="s">
        <v>227</v>
      </c>
      <c r="E305" s="9" t="s">
        <v>3389</v>
      </c>
      <c r="F305" s="4" t="s">
        <v>2782</v>
      </c>
      <c r="G305" s="9" t="s">
        <v>3148</v>
      </c>
      <c r="H305" s="164">
        <v>0</v>
      </c>
      <c r="I305" s="165">
        <v>0</v>
      </c>
      <c r="J305" s="165">
        <v>0</v>
      </c>
      <c r="K305" s="165">
        <v>0</v>
      </c>
      <c r="L305" s="177">
        <f t="shared" si="46"/>
        <v>0</v>
      </c>
      <c r="M305" s="166">
        <f t="shared" si="47"/>
        <v>0</v>
      </c>
      <c r="N305" s="189">
        <f>INDEX('CHIRP Payment Calc'!AM:AM,MATCH(F305,'CHIRP Payment Calc'!C:C,0))</f>
        <v>0</v>
      </c>
      <c r="O305" s="189">
        <f>INDEX('CHIRP Payment Calc'!AL:AL,MATCH(FeeCalc!F305,'CHIRP Payment Calc'!C:C,0))</f>
        <v>1.06</v>
      </c>
      <c r="P305" s="164">
        <f t="shared" si="44"/>
        <v>0</v>
      </c>
      <c r="Q305" s="165">
        <f t="shared" si="48"/>
        <v>0</v>
      </c>
      <c r="R305" s="165">
        <f t="shared" si="49"/>
        <v>0</v>
      </c>
      <c r="S305" s="165">
        <f t="shared" si="50"/>
        <v>0</v>
      </c>
      <c r="T305" s="165">
        <f t="shared" si="51"/>
        <v>0</v>
      </c>
      <c r="U305" s="165">
        <f t="shared" si="52"/>
        <v>0</v>
      </c>
      <c r="V305" s="165">
        <f t="shared" si="53"/>
        <v>0</v>
      </c>
      <c r="W305" s="165">
        <f t="shared" si="54"/>
        <v>0</v>
      </c>
      <c r="X305" s="166">
        <f t="shared" si="45"/>
        <v>0</v>
      </c>
    </row>
    <row r="306" spans="4:24">
      <c r="D306" s="9" t="s">
        <v>227</v>
      </c>
      <c r="E306" s="9" t="s">
        <v>2718</v>
      </c>
      <c r="F306" s="4" t="s">
        <v>463</v>
      </c>
      <c r="G306" s="9" t="s">
        <v>3561</v>
      </c>
      <c r="H306" s="164">
        <v>3596143.7530803145</v>
      </c>
      <c r="I306" s="165">
        <v>5920666.821989404</v>
      </c>
      <c r="J306" s="165">
        <v>1877813.6691936352</v>
      </c>
      <c r="K306" s="165">
        <v>5485035.1308807759</v>
      </c>
      <c r="L306" s="177">
        <f t="shared" si="46"/>
        <v>5473957.4222739497</v>
      </c>
      <c r="M306" s="166">
        <f t="shared" si="47"/>
        <v>11405701.952870179</v>
      </c>
      <c r="N306" s="189">
        <f>INDEX('CHIRP Payment Calc'!AM:AM,MATCH(F306,'CHIRP Payment Calc'!C:C,0))</f>
        <v>3.45</v>
      </c>
      <c r="O306" s="189">
        <f>INDEX('CHIRP Payment Calc'!AL:AL,MATCH(FeeCalc!F306,'CHIRP Payment Calc'!C:C,0))</f>
        <v>1.66</v>
      </c>
      <c r="P306" s="164">
        <f t="shared" si="44"/>
        <v>37818618.348609626</v>
      </c>
      <c r="Q306" s="165">
        <f t="shared" si="48"/>
        <v>1356512.111592781</v>
      </c>
      <c r="R306" s="165">
        <f t="shared" si="49"/>
        <v>994698.86016894458</v>
      </c>
      <c r="S306" s="165">
        <f t="shared" si="50"/>
        <v>2351210.9717617258</v>
      </c>
      <c r="T306" s="165">
        <f t="shared" si="51"/>
        <v>13163603.127986297</v>
      </c>
      <c r="U306" s="165">
        <f t="shared" si="52"/>
        <v>6891975.7007638747</v>
      </c>
      <c r="V306" s="165">
        <f t="shared" si="53"/>
        <v>10427911.856235979</v>
      </c>
      <c r="W306" s="165">
        <f t="shared" si="54"/>
        <v>9686338.6353851985</v>
      </c>
      <c r="X306" s="166">
        <f t="shared" si="45"/>
        <v>16578314.336149074</v>
      </c>
    </row>
    <row r="307" spans="4:24">
      <c r="D307" s="9" t="s">
        <v>227</v>
      </c>
      <c r="E307" s="9" t="s">
        <v>2718</v>
      </c>
      <c r="F307" s="4" t="s">
        <v>890</v>
      </c>
      <c r="G307" s="9" t="s">
        <v>3385</v>
      </c>
      <c r="H307" s="164">
        <v>4667954.4303271715</v>
      </c>
      <c r="I307" s="165">
        <v>3871999.1989811687</v>
      </c>
      <c r="J307" s="165">
        <v>937089.29320742982</v>
      </c>
      <c r="K307" s="165">
        <v>1759037.087663769</v>
      </c>
      <c r="L307" s="177">
        <f t="shared" si="46"/>
        <v>5605043.7235346008</v>
      </c>
      <c r="M307" s="166">
        <f t="shared" si="47"/>
        <v>5631036.2866449375</v>
      </c>
      <c r="N307" s="189">
        <f>INDEX('CHIRP Payment Calc'!AM:AM,MATCH(F307,'CHIRP Payment Calc'!C:C,0))</f>
        <v>1.52</v>
      </c>
      <c r="O307" s="189">
        <f>INDEX('CHIRP Payment Calc'!AL:AL,MATCH(FeeCalc!F307,'CHIRP Payment Calc'!C:C,0))</f>
        <v>0.43</v>
      </c>
      <c r="P307" s="164">
        <f t="shared" si="44"/>
        <v>10941012.063029915</v>
      </c>
      <c r="Q307" s="165">
        <f t="shared" si="48"/>
        <v>534444.98398451379</v>
      </c>
      <c r="R307" s="165">
        <f t="shared" si="49"/>
        <v>139197.55361940729</v>
      </c>
      <c r="S307" s="165">
        <f t="shared" si="50"/>
        <v>673642.53760392102</v>
      </c>
      <c r="T307" s="165">
        <f t="shared" si="51"/>
        <v>7528159.9300767109</v>
      </c>
      <c r="U307" s="165">
        <f t="shared" si="52"/>
        <v>1515293.3251864824</v>
      </c>
      <c r="V307" s="165">
        <f t="shared" si="53"/>
        <v>1766535.4435670052</v>
      </c>
      <c r="W307" s="165">
        <f t="shared" si="54"/>
        <v>804665.90180363914</v>
      </c>
      <c r="X307" s="166">
        <f t="shared" si="45"/>
        <v>2319959.2269901214</v>
      </c>
    </row>
    <row r="308" spans="4:24">
      <c r="D308" s="9" t="s">
        <v>227</v>
      </c>
      <c r="E308" s="9" t="s">
        <v>2718</v>
      </c>
      <c r="F308" s="4" t="s">
        <v>3391</v>
      </c>
      <c r="G308" s="9" t="s">
        <v>3354</v>
      </c>
      <c r="H308" s="164">
        <v>0</v>
      </c>
      <c r="I308" s="165">
        <v>21250.211072145663</v>
      </c>
      <c r="J308" s="165">
        <v>0</v>
      </c>
      <c r="K308" s="165">
        <v>139131.01241380585</v>
      </c>
      <c r="L308" s="177">
        <f t="shared" si="46"/>
        <v>0</v>
      </c>
      <c r="M308" s="166">
        <f t="shared" si="47"/>
        <v>160381.22348595152</v>
      </c>
      <c r="N308" s="189">
        <f>INDEX('CHIRP Payment Calc'!AM:AM,MATCH(F308,'CHIRP Payment Calc'!C:C,0))</f>
        <v>1.18</v>
      </c>
      <c r="O308" s="189">
        <f>INDEX('CHIRP Payment Calc'!AL:AL,MATCH(FeeCalc!F308,'CHIRP Payment Calc'!C:C,0))</f>
        <v>0.43</v>
      </c>
      <c r="P308" s="164">
        <f t="shared" si="44"/>
        <v>68963.926098959157</v>
      </c>
      <c r="Q308" s="165">
        <f t="shared" si="48"/>
        <v>557.46574934620844</v>
      </c>
      <c r="R308" s="165">
        <f t="shared" si="49"/>
        <v>3818.7022556129691</v>
      </c>
      <c r="S308" s="165">
        <f t="shared" si="50"/>
        <v>4376.1680049591778</v>
      </c>
      <c r="T308" s="165">
        <f t="shared" si="51"/>
        <v>0</v>
      </c>
      <c r="U308" s="165">
        <f t="shared" si="52"/>
        <v>0</v>
      </c>
      <c r="V308" s="165">
        <f t="shared" si="53"/>
        <v>9695.0565103688423</v>
      </c>
      <c r="W308" s="165">
        <f t="shared" si="54"/>
        <v>63645.037593549481</v>
      </c>
      <c r="X308" s="166">
        <f t="shared" si="45"/>
        <v>63645.037593549481</v>
      </c>
    </row>
    <row r="309" spans="4:24">
      <c r="D309" s="9" t="s">
        <v>227</v>
      </c>
      <c r="E309" s="9" t="s">
        <v>2718</v>
      </c>
      <c r="F309" s="4" t="s">
        <v>748</v>
      </c>
      <c r="G309" s="9" t="s">
        <v>2869</v>
      </c>
      <c r="H309" s="164">
        <v>7108099.1314760922</v>
      </c>
      <c r="I309" s="165">
        <v>8350031.7771373233</v>
      </c>
      <c r="J309" s="165">
        <v>3970294.7139377012</v>
      </c>
      <c r="K309" s="165">
        <v>5588702.0400604839</v>
      </c>
      <c r="L309" s="177">
        <f t="shared" si="46"/>
        <v>11078393.845413793</v>
      </c>
      <c r="M309" s="166">
        <f t="shared" si="47"/>
        <v>13938733.817197807</v>
      </c>
      <c r="N309" s="189">
        <f>INDEX('CHIRP Payment Calc'!AM:AM,MATCH(F309,'CHIRP Payment Calc'!C:C,0))</f>
        <v>1.18</v>
      </c>
      <c r="O309" s="189">
        <f>INDEX('CHIRP Payment Calc'!AL:AL,MATCH(FeeCalc!F309,'CHIRP Payment Calc'!C:C,0))</f>
        <v>1.65</v>
      </c>
      <c r="P309" s="164">
        <f t="shared" si="44"/>
        <v>36071415.535964653</v>
      </c>
      <c r="Q309" s="165">
        <f t="shared" si="48"/>
        <v>1352248.0540334815</v>
      </c>
      <c r="R309" s="165">
        <f t="shared" si="49"/>
        <v>887636.56139657157</v>
      </c>
      <c r="S309" s="165">
        <f t="shared" si="50"/>
        <v>2239884.6154300533</v>
      </c>
      <c r="T309" s="165">
        <f t="shared" si="51"/>
        <v>8899264.6951106507</v>
      </c>
      <c r="U309" s="165">
        <f t="shared" si="52"/>
        <v>4983986.9813260501</v>
      </c>
      <c r="V309" s="165">
        <f t="shared" si="53"/>
        <v>14618092.766341202</v>
      </c>
      <c r="W309" s="165">
        <f t="shared" si="54"/>
        <v>9809955.7086168081</v>
      </c>
      <c r="X309" s="166">
        <f t="shared" si="45"/>
        <v>14793942.689942859</v>
      </c>
    </row>
    <row r="310" spans="4:24">
      <c r="D310" s="9" t="s">
        <v>227</v>
      </c>
      <c r="E310" s="9" t="s">
        <v>2718</v>
      </c>
      <c r="F310" s="4" t="s">
        <v>1434</v>
      </c>
      <c r="G310" s="9" t="s">
        <v>3118</v>
      </c>
      <c r="H310" s="164">
        <v>0</v>
      </c>
      <c r="I310" s="165">
        <v>45301.386942974081</v>
      </c>
      <c r="J310" s="165">
        <v>0</v>
      </c>
      <c r="K310" s="165">
        <v>513765.74226397212</v>
      </c>
      <c r="L310" s="177">
        <f t="shared" si="46"/>
        <v>0</v>
      </c>
      <c r="M310" s="166">
        <f t="shared" si="47"/>
        <v>559067.12920694624</v>
      </c>
      <c r="N310" s="189">
        <f>INDEX('CHIRP Payment Calc'!AM:AM,MATCH(F310,'CHIRP Payment Calc'!C:C,0))</f>
        <v>1.18</v>
      </c>
      <c r="O310" s="189">
        <f>INDEX('CHIRP Payment Calc'!AL:AL,MATCH(FeeCalc!F310,'CHIRP Payment Calc'!C:C,0))</f>
        <v>0.43</v>
      </c>
      <c r="P310" s="164">
        <f t="shared" si="44"/>
        <v>240398.86555898687</v>
      </c>
      <c r="Q310" s="165">
        <f t="shared" si="48"/>
        <v>1188.410389565023</v>
      </c>
      <c r="R310" s="165">
        <f t="shared" si="49"/>
        <v>14101.229947245192</v>
      </c>
      <c r="S310" s="165">
        <f t="shared" si="50"/>
        <v>15289.640336810215</v>
      </c>
      <c r="T310" s="165">
        <f t="shared" si="51"/>
        <v>0</v>
      </c>
      <c r="U310" s="165">
        <f t="shared" si="52"/>
        <v>0</v>
      </c>
      <c r="V310" s="165">
        <f t="shared" si="53"/>
        <v>20668.006775043879</v>
      </c>
      <c r="W310" s="165">
        <f t="shared" si="54"/>
        <v>235020.4991207532</v>
      </c>
      <c r="X310" s="166">
        <f t="shared" si="45"/>
        <v>235020.4991207532</v>
      </c>
    </row>
    <row r="311" spans="4:24">
      <c r="D311" s="9" t="s">
        <v>227</v>
      </c>
      <c r="E311" s="9" t="s">
        <v>2718</v>
      </c>
      <c r="F311" s="4" t="s">
        <v>1163</v>
      </c>
      <c r="G311" s="9" t="s">
        <v>3133</v>
      </c>
      <c r="H311" s="164">
        <v>4737893.2628204785</v>
      </c>
      <c r="I311" s="165">
        <v>5558547.6930268435</v>
      </c>
      <c r="J311" s="165">
        <v>951035.51053125435</v>
      </c>
      <c r="K311" s="165">
        <v>2791023.3250868651</v>
      </c>
      <c r="L311" s="177">
        <f t="shared" si="46"/>
        <v>5688928.7733517326</v>
      </c>
      <c r="M311" s="166">
        <f t="shared" si="47"/>
        <v>8349571.0181137081</v>
      </c>
      <c r="N311" s="189">
        <f>INDEX('CHIRP Payment Calc'!AM:AM,MATCH(F311,'CHIRP Payment Calc'!C:C,0))</f>
        <v>1.19</v>
      </c>
      <c r="O311" s="189">
        <f>INDEX('CHIRP Payment Calc'!AL:AL,MATCH(FeeCalc!F311,'CHIRP Payment Calc'!C:C,0))</f>
        <v>0.79</v>
      </c>
      <c r="P311" s="164">
        <f t="shared" si="44"/>
        <v>13365986.34459839</v>
      </c>
      <c r="Q311" s="165">
        <f t="shared" si="48"/>
        <v>611869.89439176198</v>
      </c>
      <c r="R311" s="165">
        <f t="shared" si="49"/>
        <v>212977.06495856278</v>
      </c>
      <c r="S311" s="165">
        <f t="shared" si="50"/>
        <v>824846.9593503247</v>
      </c>
      <c r="T311" s="165">
        <f t="shared" si="51"/>
        <v>5982061.5201659091</v>
      </c>
      <c r="U311" s="165">
        <f t="shared" si="52"/>
        <v>1203970.4867363751</v>
      </c>
      <c r="V311" s="165">
        <f t="shared" si="53"/>
        <v>4659154.0344734285</v>
      </c>
      <c r="W311" s="165">
        <f t="shared" si="54"/>
        <v>2345647.2625730042</v>
      </c>
      <c r="X311" s="166">
        <f t="shared" si="45"/>
        <v>3549617.7493093796</v>
      </c>
    </row>
    <row r="312" spans="4:24">
      <c r="D312" s="9" t="s">
        <v>227</v>
      </c>
      <c r="E312" s="9" t="s">
        <v>2718</v>
      </c>
      <c r="F312" s="4" t="s">
        <v>945</v>
      </c>
      <c r="G312" s="9" t="s">
        <v>3368</v>
      </c>
      <c r="H312" s="164">
        <v>1541226.6700603347</v>
      </c>
      <c r="I312" s="165">
        <v>7425285.0891263271</v>
      </c>
      <c r="J312" s="165">
        <v>186987.24891763262</v>
      </c>
      <c r="K312" s="165">
        <v>730154.24932336353</v>
      </c>
      <c r="L312" s="177">
        <f t="shared" si="46"/>
        <v>1728213.9189779675</v>
      </c>
      <c r="M312" s="166">
        <f t="shared" si="47"/>
        <v>8155439.3384496905</v>
      </c>
      <c r="N312" s="189">
        <f>INDEX('CHIRP Payment Calc'!AM:AM,MATCH(F312,'CHIRP Payment Calc'!C:C,0))</f>
        <v>2.87</v>
      </c>
      <c r="O312" s="189">
        <f>INDEX('CHIRP Payment Calc'!AL:AL,MATCH(FeeCalc!F312,'CHIRP Payment Calc'!C:C,0))</f>
        <v>2.68</v>
      </c>
      <c r="P312" s="164">
        <f t="shared" si="44"/>
        <v>26816551.374511935</v>
      </c>
      <c r="Q312" s="165">
        <f t="shared" si="48"/>
        <v>1483901.7118950384</v>
      </c>
      <c r="R312" s="165">
        <f t="shared" si="49"/>
        <v>159157.45484554599</v>
      </c>
      <c r="S312" s="165">
        <f t="shared" si="50"/>
        <v>1643059.1667405844</v>
      </c>
      <c r="T312" s="165">
        <f t="shared" si="51"/>
        <v>4693178.2950378358</v>
      </c>
      <c r="U312" s="165">
        <f t="shared" si="52"/>
        <v>570907.87701447413</v>
      </c>
      <c r="V312" s="165">
        <f t="shared" si="53"/>
        <v>21113807.998788919</v>
      </c>
      <c r="W312" s="165">
        <f t="shared" si="54"/>
        <v>2081716.370411292</v>
      </c>
      <c r="X312" s="166">
        <f t="shared" si="45"/>
        <v>2652624.2474257662</v>
      </c>
    </row>
    <row r="313" spans="4:24">
      <c r="D313" s="9" t="s">
        <v>227</v>
      </c>
      <c r="E313" s="9" t="s">
        <v>2718</v>
      </c>
      <c r="F313" s="4" t="s">
        <v>1428</v>
      </c>
      <c r="G313" s="9" t="s">
        <v>3123</v>
      </c>
      <c r="H313" s="164">
        <v>0</v>
      </c>
      <c r="I313" s="165">
        <v>112548.26864964093</v>
      </c>
      <c r="J313" s="165">
        <v>0</v>
      </c>
      <c r="K313" s="165">
        <v>468000.93233809102</v>
      </c>
      <c r="L313" s="177">
        <f t="shared" si="46"/>
        <v>0</v>
      </c>
      <c r="M313" s="166">
        <f t="shared" si="47"/>
        <v>580549.20098773192</v>
      </c>
      <c r="N313" s="189">
        <f>INDEX('CHIRP Payment Calc'!AM:AM,MATCH(F313,'CHIRP Payment Calc'!C:C,0))</f>
        <v>1.18</v>
      </c>
      <c r="O313" s="189">
        <f>INDEX('CHIRP Payment Calc'!AL:AL,MATCH(FeeCalc!F313,'CHIRP Payment Calc'!C:C,0))</f>
        <v>0.43</v>
      </c>
      <c r="P313" s="164">
        <f t="shared" si="44"/>
        <v>249636.15642472473</v>
      </c>
      <c r="Q313" s="165">
        <f t="shared" si="48"/>
        <v>2952.526198792968</v>
      </c>
      <c r="R313" s="165">
        <f t="shared" si="49"/>
        <v>12845.131972683776</v>
      </c>
      <c r="S313" s="165">
        <f t="shared" si="50"/>
        <v>15797.658171476744</v>
      </c>
      <c r="T313" s="165">
        <f t="shared" si="51"/>
        <v>0</v>
      </c>
      <c r="U313" s="165">
        <f t="shared" si="52"/>
        <v>0</v>
      </c>
      <c r="V313" s="165">
        <f t="shared" si="53"/>
        <v>51348.281718138569</v>
      </c>
      <c r="W313" s="165">
        <f t="shared" si="54"/>
        <v>214085.53287806292</v>
      </c>
      <c r="X313" s="166">
        <f t="shared" si="45"/>
        <v>214085.53287806292</v>
      </c>
    </row>
    <row r="314" spans="4:24">
      <c r="D314" s="9" t="s">
        <v>227</v>
      </c>
      <c r="E314" s="9" t="s">
        <v>2718</v>
      </c>
      <c r="F314" s="4" t="s">
        <v>1723</v>
      </c>
      <c r="G314" s="9" t="s">
        <v>2865</v>
      </c>
      <c r="H314" s="164">
        <v>5090545.1815794632</v>
      </c>
      <c r="I314" s="165">
        <v>4533038.1025600275</v>
      </c>
      <c r="J314" s="165">
        <v>2381497.0731587862</v>
      </c>
      <c r="K314" s="165">
        <v>3479115.8873108397</v>
      </c>
      <c r="L314" s="177">
        <f t="shared" si="46"/>
        <v>7472042.2547382489</v>
      </c>
      <c r="M314" s="166">
        <f t="shared" si="47"/>
        <v>8012153.9898708668</v>
      </c>
      <c r="N314" s="189">
        <f>INDEX('CHIRP Payment Calc'!AM:AM,MATCH(F314,'CHIRP Payment Calc'!C:C,0))</f>
        <v>1.63</v>
      </c>
      <c r="O314" s="189">
        <f>INDEX('CHIRP Payment Calc'!AL:AL,MATCH(FeeCalc!F314,'CHIRP Payment Calc'!C:C,0))</f>
        <v>1.3699999999999999</v>
      </c>
      <c r="P314" s="164">
        <f t="shared" si="44"/>
        <v>23156079.841346432</v>
      </c>
      <c r="Q314" s="165">
        <f t="shared" si="48"/>
        <v>885094.3487243515</v>
      </c>
      <c r="R314" s="165">
        <f t="shared" si="49"/>
        <v>552014.61669348972</v>
      </c>
      <c r="S314" s="165">
        <f t="shared" si="50"/>
        <v>1437108.9654178412</v>
      </c>
      <c r="T314" s="165">
        <f t="shared" si="51"/>
        <v>8803807.581935836</v>
      </c>
      <c r="U314" s="165">
        <f t="shared" si="52"/>
        <v>4129617.2651583208</v>
      </c>
      <c r="V314" s="165">
        <f t="shared" si="53"/>
        <v>6589137.6132702772</v>
      </c>
      <c r="W314" s="165">
        <f t="shared" si="54"/>
        <v>5070626.3463998409</v>
      </c>
      <c r="X314" s="166">
        <f t="shared" si="45"/>
        <v>9200243.6115581617</v>
      </c>
    </row>
    <row r="315" spans="4:24">
      <c r="D315" s="9" t="s">
        <v>1553</v>
      </c>
      <c r="E315" s="9" t="s">
        <v>1552</v>
      </c>
      <c r="F315" s="4" t="s">
        <v>115</v>
      </c>
      <c r="G315" s="9" t="s">
        <v>2872</v>
      </c>
      <c r="H315" s="164">
        <v>81654025.791787893</v>
      </c>
      <c r="I315" s="165">
        <v>68955701.731989652</v>
      </c>
      <c r="J315" s="165">
        <v>223818.18050129115</v>
      </c>
      <c r="K315" s="165">
        <v>136277.79299557293</v>
      </c>
      <c r="L315" s="177">
        <f t="shared" si="46"/>
        <v>81877843.97228919</v>
      </c>
      <c r="M315" s="166">
        <f t="shared" si="47"/>
        <v>69091979.524985224</v>
      </c>
      <c r="N315" s="189">
        <f>INDEX('CHIRP Payment Calc'!AM:AM,MATCH(F315,'CHIRP Payment Calc'!C:C,0))</f>
        <v>0.62</v>
      </c>
      <c r="O315" s="189">
        <f>INDEX('CHIRP Payment Calc'!AL:AL,MATCH(FeeCalc!F315,'CHIRP Payment Calc'!C:C,0))</f>
        <v>2.9</v>
      </c>
      <c r="P315" s="164">
        <f t="shared" si="44"/>
        <v>251131003.88527644</v>
      </c>
      <c r="Q315" s="165">
        <f t="shared" si="48"/>
        <v>15288413.032664737</v>
      </c>
      <c r="R315" s="165">
        <f t="shared" si="49"/>
        <v>34083.374782848645</v>
      </c>
      <c r="S315" s="165">
        <f t="shared" si="50"/>
        <v>15322496.407447586</v>
      </c>
      <c r="T315" s="165">
        <f t="shared" si="51"/>
        <v>53714054.10175968</v>
      </c>
      <c r="U315" s="165">
        <f t="shared" si="52"/>
        <v>147624.75735191544</v>
      </c>
      <c r="V315" s="165">
        <f t="shared" si="53"/>
        <v>212171389.94458356</v>
      </c>
      <c r="W315" s="165">
        <f t="shared" si="54"/>
        <v>420431.48902889527</v>
      </c>
      <c r="X315" s="166">
        <f t="shared" si="45"/>
        <v>568056.24638081074</v>
      </c>
    </row>
    <row r="316" spans="4:24">
      <c r="D316" s="9" t="s">
        <v>1553</v>
      </c>
      <c r="E316" s="9" t="s">
        <v>2768</v>
      </c>
      <c r="F316" s="4" t="s">
        <v>74</v>
      </c>
      <c r="G316" s="9" t="s">
        <v>3534</v>
      </c>
      <c r="H316" s="164">
        <v>3415069.4616758944</v>
      </c>
      <c r="I316" s="165">
        <v>1009422.2056945624</v>
      </c>
      <c r="J316" s="165">
        <v>1254124.4717308411</v>
      </c>
      <c r="K316" s="165">
        <v>955488.27830476174</v>
      </c>
      <c r="L316" s="177">
        <f t="shared" si="46"/>
        <v>4669193.9334067358</v>
      </c>
      <c r="M316" s="166">
        <f t="shared" si="47"/>
        <v>1964910.483999324</v>
      </c>
      <c r="N316" s="189">
        <f>INDEX('CHIRP Payment Calc'!AM:AM,MATCH(F316,'CHIRP Payment Calc'!C:C,0))</f>
        <v>0.5</v>
      </c>
      <c r="O316" s="189">
        <f>INDEX('CHIRP Payment Calc'!AL:AL,MATCH(FeeCalc!F316,'CHIRP Payment Calc'!C:C,0))</f>
        <v>0.46</v>
      </c>
      <c r="P316" s="164">
        <f t="shared" si="44"/>
        <v>3238455.7893430572</v>
      </c>
      <c r="Q316" s="165">
        <f t="shared" si="48"/>
        <v>132501.28844965852</v>
      </c>
      <c r="R316" s="165">
        <f t="shared" si="49"/>
        <v>68080.011311847513</v>
      </c>
      <c r="S316" s="165">
        <f t="shared" si="50"/>
        <v>200581.29976150603</v>
      </c>
      <c r="T316" s="165">
        <f t="shared" si="51"/>
        <v>1811707.9372285912</v>
      </c>
      <c r="U316" s="165">
        <f t="shared" si="52"/>
        <v>667087.48496321333</v>
      </c>
      <c r="V316" s="165">
        <f t="shared" si="53"/>
        <v>492662.29667851317</v>
      </c>
      <c r="W316" s="165">
        <f t="shared" si="54"/>
        <v>467579.37023424514</v>
      </c>
      <c r="X316" s="166">
        <f t="shared" si="45"/>
        <v>1134666.8551974585</v>
      </c>
    </row>
    <row r="317" spans="4:24">
      <c r="D317" s="9" t="s">
        <v>1553</v>
      </c>
      <c r="E317" s="9" t="s">
        <v>2768</v>
      </c>
      <c r="F317" s="4" t="s">
        <v>609</v>
      </c>
      <c r="G317" s="9" t="s">
        <v>610</v>
      </c>
      <c r="H317" s="164">
        <v>1540680.2320979151</v>
      </c>
      <c r="I317" s="165">
        <v>1813253.8013115444</v>
      </c>
      <c r="J317" s="165">
        <v>541356.71096256597</v>
      </c>
      <c r="K317" s="165">
        <v>712152.49482672266</v>
      </c>
      <c r="L317" s="177">
        <f t="shared" si="46"/>
        <v>2082036.943060481</v>
      </c>
      <c r="M317" s="166">
        <f t="shared" si="47"/>
        <v>2525406.296138267</v>
      </c>
      <c r="N317" s="189">
        <f>INDEX('CHIRP Payment Calc'!AM:AM,MATCH(F317,'CHIRP Payment Calc'!C:C,0))</f>
        <v>0.82000000000000006</v>
      </c>
      <c r="O317" s="189">
        <f>INDEX('CHIRP Payment Calc'!AL:AL,MATCH(FeeCalc!F317,'CHIRP Payment Calc'!C:C,0))</f>
        <v>0.15</v>
      </c>
      <c r="P317" s="164">
        <f t="shared" si="44"/>
        <v>2086081.2377303345</v>
      </c>
      <c r="Q317" s="165">
        <f t="shared" si="48"/>
        <v>93668.315097855462</v>
      </c>
      <c r="R317" s="165">
        <f t="shared" si="49"/>
        <v>35153.32194978591</v>
      </c>
      <c r="S317" s="165">
        <f t="shared" si="50"/>
        <v>128821.63704764137</v>
      </c>
      <c r="T317" s="165">
        <f t="shared" si="51"/>
        <v>1340432.6687748441</v>
      </c>
      <c r="U317" s="165">
        <f t="shared" si="52"/>
        <v>472247.34360564273</v>
      </c>
      <c r="V317" s="165">
        <f t="shared" si="53"/>
        <v>288581.50684003357</v>
      </c>
      <c r="W317" s="165">
        <f t="shared" si="54"/>
        <v>113641.35555745575</v>
      </c>
      <c r="X317" s="166">
        <f t="shared" si="45"/>
        <v>585888.69916309847</v>
      </c>
    </row>
    <row r="318" spans="4:24">
      <c r="D318" s="9" t="s">
        <v>1553</v>
      </c>
      <c r="E318" s="9" t="s">
        <v>2768</v>
      </c>
      <c r="F318" s="4" t="s">
        <v>603</v>
      </c>
      <c r="G318" s="9" t="s">
        <v>604</v>
      </c>
      <c r="H318" s="164">
        <v>1768220.1998311249</v>
      </c>
      <c r="I318" s="165">
        <v>1026591.3429974987</v>
      </c>
      <c r="J318" s="165">
        <v>561703.17997971969</v>
      </c>
      <c r="K318" s="165">
        <v>346974.96187600133</v>
      </c>
      <c r="L318" s="177">
        <f t="shared" si="46"/>
        <v>2329923.3798108445</v>
      </c>
      <c r="M318" s="166">
        <f t="shared" si="47"/>
        <v>1373566.3048735</v>
      </c>
      <c r="N318" s="189">
        <f>INDEX('CHIRP Payment Calc'!AM:AM,MATCH(F318,'CHIRP Payment Calc'!C:C,0))</f>
        <v>0.63</v>
      </c>
      <c r="O318" s="189">
        <f>INDEX('CHIRP Payment Calc'!AL:AL,MATCH(FeeCalc!F318,'CHIRP Payment Calc'!C:C,0))</f>
        <v>0.13999999999999999</v>
      </c>
      <c r="P318" s="164">
        <f t="shared" si="44"/>
        <v>1660151.0119631221</v>
      </c>
      <c r="Q318" s="165">
        <f t="shared" si="48"/>
        <v>76729.800583567499</v>
      </c>
      <c r="R318" s="165">
        <f t="shared" si="49"/>
        <v>25688.265832970021</v>
      </c>
      <c r="S318" s="165">
        <f t="shared" si="50"/>
        <v>102418.06641653752</v>
      </c>
      <c r="T318" s="165">
        <f t="shared" si="51"/>
        <v>1181940.2927253142</v>
      </c>
      <c r="U318" s="165">
        <f t="shared" si="52"/>
        <v>376460.64190130151</v>
      </c>
      <c r="V318" s="165">
        <f t="shared" si="53"/>
        <v>152491.02177151173</v>
      </c>
      <c r="W318" s="165">
        <f t="shared" si="54"/>
        <v>51677.121981532109</v>
      </c>
      <c r="X318" s="166">
        <f t="shared" si="45"/>
        <v>428137.76388283365</v>
      </c>
    </row>
    <row r="319" spans="4:24">
      <c r="D319" s="9" t="s">
        <v>1553</v>
      </c>
      <c r="E319" s="9" t="s">
        <v>2768</v>
      </c>
      <c r="F319" s="4" t="s">
        <v>851</v>
      </c>
      <c r="G319" s="9" t="s">
        <v>2862</v>
      </c>
      <c r="H319" s="164">
        <v>1289670.5471648062</v>
      </c>
      <c r="I319" s="165">
        <v>525865.12007654237</v>
      </c>
      <c r="J319" s="165">
        <v>294718.41931637062</v>
      </c>
      <c r="K319" s="165">
        <v>122312.75762987525</v>
      </c>
      <c r="L319" s="177">
        <f t="shared" si="46"/>
        <v>1584388.9664811767</v>
      </c>
      <c r="M319" s="166">
        <f t="shared" si="47"/>
        <v>648177.87770641758</v>
      </c>
      <c r="N319" s="189">
        <f>INDEX('CHIRP Payment Calc'!AM:AM,MATCH(F319,'CHIRP Payment Calc'!C:C,0))</f>
        <v>0.17</v>
      </c>
      <c r="O319" s="189">
        <f>INDEX('CHIRP Payment Calc'!AL:AL,MATCH(FeeCalc!F319,'CHIRP Payment Calc'!C:C,0))</f>
        <v>0.12</v>
      </c>
      <c r="P319" s="164">
        <f t="shared" ref="P319:P382" si="55">(L319*N319)+(M319*O319)</f>
        <v>347127.46962657012</v>
      </c>
      <c r="Q319" s="165">
        <f t="shared" si="48"/>
        <v>17225.463052587929</v>
      </c>
      <c r="R319" s="165">
        <f t="shared" si="49"/>
        <v>4134.8720552788118</v>
      </c>
      <c r="S319" s="165">
        <f t="shared" si="50"/>
        <v>21360.33510786674</v>
      </c>
      <c r="T319" s="165">
        <f t="shared" si="51"/>
        <v>232619.62123927538</v>
      </c>
      <c r="U319" s="165">
        <f t="shared" si="52"/>
        <v>53300.139663598951</v>
      </c>
      <c r="V319" s="165">
        <f t="shared" si="53"/>
        <v>66953.649240514686</v>
      </c>
      <c r="W319" s="165">
        <f t="shared" si="54"/>
        <v>15614.394591047905</v>
      </c>
      <c r="X319" s="166">
        <f t="shared" ref="X319:X382" si="56">U319+W319</f>
        <v>68914.53425464686</v>
      </c>
    </row>
    <row r="320" spans="4:24">
      <c r="D320" s="9" t="s">
        <v>1553</v>
      </c>
      <c r="E320" s="9" t="s">
        <v>2768</v>
      </c>
      <c r="F320" s="4" t="s">
        <v>196</v>
      </c>
      <c r="G320" s="9" t="s">
        <v>3373</v>
      </c>
      <c r="H320" s="164">
        <v>656492.65998848388</v>
      </c>
      <c r="I320" s="165">
        <v>316.55777916684332</v>
      </c>
      <c r="J320" s="165">
        <v>226845.26433194839</v>
      </c>
      <c r="K320" s="165">
        <v>44244.702640529504</v>
      </c>
      <c r="L320" s="177">
        <f t="shared" ref="L320:L383" si="57">H320+J320</f>
        <v>883337.92432043224</v>
      </c>
      <c r="M320" s="166">
        <f t="shared" ref="M320:M383" si="58">I320+K320</f>
        <v>44561.260419696344</v>
      </c>
      <c r="N320" s="189">
        <f>INDEX('CHIRP Payment Calc'!AM:AM,MATCH(F320,'CHIRP Payment Calc'!C:C,0))</f>
        <v>0.17</v>
      </c>
      <c r="O320" s="189">
        <f>INDEX('CHIRP Payment Calc'!AL:AL,MATCH(FeeCalc!F320,'CHIRP Payment Calc'!C:C,0))</f>
        <v>0.12</v>
      </c>
      <c r="P320" s="164">
        <f t="shared" si="55"/>
        <v>155514.79838483705</v>
      </c>
      <c r="Q320" s="165">
        <f t="shared" ref="Q320:Q383" si="59">(T320+V320)*$B$10</f>
        <v>6811.0344828261887</v>
      </c>
      <c r="R320" s="165">
        <f t="shared" ref="R320:R383" si="60">(U320+W320)*$B$11</f>
        <v>2800.4080374443474</v>
      </c>
      <c r="S320" s="165">
        <f t="shared" ref="S320:S383" si="61">(T320+V320)*$B$10+(U320+W320)*$B$11</f>
        <v>9611.4425202705352</v>
      </c>
      <c r="T320" s="165">
        <f t="shared" ref="T320:T383" si="62">H320/(1-$B$10)*N320</f>
        <v>118412.46917564167</v>
      </c>
      <c r="U320" s="165">
        <f t="shared" ref="U320:U383" si="63">J320/(1-$B$11)*N320</f>
        <v>41025.20737918216</v>
      </c>
      <c r="V320" s="165">
        <f t="shared" ref="V320:V383" si="64">I320/(1-$B$10)*O320</f>
        <v>40.30443872681294</v>
      </c>
      <c r="W320" s="165">
        <f t="shared" ref="W320:W383" si="65">K320/(1-$B$11)*O320</f>
        <v>5648.2599115569583</v>
      </c>
      <c r="X320" s="166">
        <f t="shared" si="56"/>
        <v>46673.467290739121</v>
      </c>
    </row>
    <row r="321" spans="4:24">
      <c r="D321" s="9" t="s">
        <v>1553</v>
      </c>
      <c r="E321" s="9" t="s">
        <v>2768</v>
      </c>
      <c r="F321" s="4" t="s">
        <v>990</v>
      </c>
      <c r="G321" s="9" t="s">
        <v>3578</v>
      </c>
      <c r="H321" s="164">
        <v>496048.25616186822</v>
      </c>
      <c r="I321" s="165">
        <v>22707.753758301671</v>
      </c>
      <c r="J321" s="165">
        <v>335267.22567336587</v>
      </c>
      <c r="K321" s="165">
        <v>23313.677907051431</v>
      </c>
      <c r="L321" s="177">
        <f t="shared" si="57"/>
        <v>831315.4818352341</v>
      </c>
      <c r="M321" s="166">
        <f t="shared" si="58"/>
        <v>46021.431665353099</v>
      </c>
      <c r="N321" s="189">
        <f>INDEX('CHIRP Payment Calc'!AM:AM,MATCH(F321,'CHIRP Payment Calc'!C:C,0))</f>
        <v>0.17</v>
      </c>
      <c r="O321" s="189">
        <f>INDEX('CHIRP Payment Calc'!AL:AL,MATCH(FeeCalc!F321,'CHIRP Payment Calc'!C:C,0))</f>
        <v>0.53</v>
      </c>
      <c r="P321" s="164">
        <f t="shared" si="55"/>
        <v>165714.99069462693</v>
      </c>
      <c r="Q321" s="165">
        <f t="shared" si="59"/>
        <v>5878.9289122191049</v>
      </c>
      <c r="R321" s="165">
        <f t="shared" si="60"/>
        <v>4426.7028290559238</v>
      </c>
      <c r="S321" s="165">
        <f t="shared" si="61"/>
        <v>10305.631741275029</v>
      </c>
      <c r="T321" s="165">
        <f t="shared" si="62"/>
        <v>89472.895010628767</v>
      </c>
      <c r="U321" s="165">
        <f t="shared" si="63"/>
        <v>60633.434430289577</v>
      </c>
      <c r="V321" s="165">
        <f t="shared" si="64"/>
        <v>12769.346941007838</v>
      </c>
      <c r="W321" s="165">
        <f t="shared" si="65"/>
        <v>13144.946053975807</v>
      </c>
      <c r="X321" s="166">
        <f t="shared" si="56"/>
        <v>73778.380484265392</v>
      </c>
    </row>
    <row r="322" spans="4:24">
      <c r="D322" s="9" t="s">
        <v>1553</v>
      </c>
      <c r="E322" s="9" t="s">
        <v>2718</v>
      </c>
      <c r="F322" s="4" t="s">
        <v>1540</v>
      </c>
      <c r="G322" s="9" t="s">
        <v>3440</v>
      </c>
      <c r="H322" s="164">
        <v>21697.236794126547</v>
      </c>
      <c r="I322" s="165">
        <v>797829.74025067629</v>
      </c>
      <c r="J322" s="165">
        <v>41265.254485893696</v>
      </c>
      <c r="K322" s="165">
        <v>379538.34433807363</v>
      </c>
      <c r="L322" s="177">
        <f t="shared" si="57"/>
        <v>62962.491280020244</v>
      </c>
      <c r="M322" s="166">
        <f t="shared" si="58"/>
        <v>1177368.0845887498</v>
      </c>
      <c r="N322" s="189">
        <f>INDEX('CHIRP Payment Calc'!AM:AM,MATCH(F322,'CHIRP Payment Calc'!C:C,0))</f>
        <v>1.49</v>
      </c>
      <c r="O322" s="189">
        <f>INDEX('CHIRP Payment Calc'!AL:AL,MATCH(FeeCalc!F322,'CHIRP Payment Calc'!C:C,0))</f>
        <v>0.66</v>
      </c>
      <c r="P322" s="164">
        <f t="shared" si="55"/>
        <v>870877.0478358051</v>
      </c>
      <c r="Q322" s="165">
        <f t="shared" si="59"/>
        <v>34097.13464705566</v>
      </c>
      <c r="R322" s="165">
        <f t="shared" si="60"/>
        <v>19913.651262581508</v>
      </c>
      <c r="S322" s="165">
        <f t="shared" si="61"/>
        <v>54010.785909637169</v>
      </c>
      <c r="T322" s="165">
        <f t="shared" si="62"/>
        <v>34301.201934481222</v>
      </c>
      <c r="U322" s="165">
        <f t="shared" si="63"/>
        <v>65409.818280831503</v>
      </c>
      <c r="V322" s="165">
        <f t="shared" si="64"/>
        <v>558692.44410126936</v>
      </c>
      <c r="W322" s="165">
        <f t="shared" si="65"/>
        <v>266484.36942886026</v>
      </c>
      <c r="X322" s="166">
        <f t="shared" si="56"/>
        <v>331894.18770969176</v>
      </c>
    </row>
    <row r="323" spans="4:24">
      <c r="D323" s="9" t="s">
        <v>1553</v>
      </c>
      <c r="E323" s="9" t="s">
        <v>2718</v>
      </c>
      <c r="F323" s="4" t="s">
        <v>612</v>
      </c>
      <c r="G323" s="9" t="s">
        <v>3436</v>
      </c>
      <c r="H323" s="164">
        <v>1219277.677379274</v>
      </c>
      <c r="I323" s="165">
        <v>1358953.4693158322</v>
      </c>
      <c r="J323" s="165">
        <v>815970.70378096623</v>
      </c>
      <c r="K323" s="165">
        <v>780433.92726081423</v>
      </c>
      <c r="L323" s="177">
        <f t="shared" si="57"/>
        <v>2035248.3811602402</v>
      </c>
      <c r="M323" s="166">
        <f t="shared" si="58"/>
        <v>2139387.3965766467</v>
      </c>
      <c r="N323" s="189">
        <f>INDEX('CHIRP Payment Calc'!AM:AM,MATCH(F323,'CHIRP Payment Calc'!C:C,0))</f>
        <v>1.49</v>
      </c>
      <c r="O323" s="189">
        <f>INDEX('CHIRP Payment Calc'!AL:AL,MATCH(FeeCalc!F323,'CHIRP Payment Calc'!C:C,0))</f>
        <v>1.23</v>
      </c>
      <c r="P323" s="164">
        <f t="shared" si="55"/>
        <v>5663966.5857180338</v>
      </c>
      <c r="Q323" s="165">
        <f t="shared" si="59"/>
        <v>212810.18474995389</v>
      </c>
      <c r="R323" s="165">
        <f t="shared" si="60"/>
        <v>138876.38803177286</v>
      </c>
      <c r="S323" s="165">
        <f t="shared" si="61"/>
        <v>351686.57278172672</v>
      </c>
      <c r="T323" s="165">
        <f t="shared" si="62"/>
        <v>1927558.3440797012</v>
      </c>
      <c r="U323" s="165">
        <f t="shared" si="63"/>
        <v>1293400.3708868509</v>
      </c>
      <c r="V323" s="165">
        <f t="shared" si="64"/>
        <v>1773488.3472238446</v>
      </c>
      <c r="W323" s="165">
        <f t="shared" si="65"/>
        <v>1021206.0963093634</v>
      </c>
      <c r="X323" s="166">
        <f t="shared" si="56"/>
        <v>2314606.467196214</v>
      </c>
    </row>
    <row r="324" spans="4:24">
      <c r="D324" s="9" t="s">
        <v>1553</v>
      </c>
      <c r="E324" s="9" t="s">
        <v>2718</v>
      </c>
      <c r="F324" s="4" t="s">
        <v>507</v>
      </c>
      <c r="G324" s="9" t="s">
        <v>2873</v>
      </c>
      <c r="H324" s="164">
        <v>3447074.1938054268</v>
      </c>
      <c r="I324" s="165">
        <v>17008373.780187957</v>
      </c>
      <c r="J324" s="165">
        <v>1451066.4873899657</v>
      </c>
      <c r="K324" s="165">
        <v>6104575.3795170514</v>
      </c>
      <c r="L324" s="177">
        <f t="shared" si="57"/>
        <v>4898140.6811953923</v>
      </c>
      <c r="M324" s="166">
        <f t="shared" si="58"/>
        <v>23112949.159705009</v>
      </c>
      <c r="N324" s="189">
        <f>INDEX('CHIRP Payment Calc'!AM:AM,MATCH(F324,'CHIRP Payment Calc'!C:C,0))</f>
        <v>2.0699999999999998</v>
      </c>
      <c r="O324" s="189">
        <f>INDEX('CHIRP Payment Calc'!AL:AL,MATCH(FeeCalc!F324,'CHIRP Payment Calc'!C:C,0))</f>
        <v>1.6800000000000002</v>
      </c>
      <c r="P324" s="164">
        <f t="shared" si="55"/>
        <v>48968905.798378885</v>
      </c>
      <c r="Q324" s="165">
        <f t="shared" si="59"/>
        <v>2178564.3640146931</v>
      </c>
      <c r="R324" s="165">
        <f t="shared" si="60"/>
        <v>846344.31488207739</v>
      </c>
      <c r="S324" s="165">
        <f t="shared" si="61"/>
        <v>3024908.6788967703</v>
      </c>
      <c r="T324" s="165">
        <f t="shared" si="62"/>
        <v>7570762.420347197</v>
      </c>
      <c r="U324" s="165">
        <f t="shared" si="63"/>
        <v>3195433.6477630092</v>
      </c>
      <c r="V324" s="165">
        <f t="shared" si="64"/>
        <v>30317313.475560501</v>
      </c>
      <c r="W324" s="165">
        <f t="shared" si="65"/>
        <v>10910304.933604944</v>
      </c>
      <c r="X324" s="166">
        <f t="shared" si="56"/>
        <v>14105738.581367955</v>
      </c>
    </row>
    <row r="325" spans="4:24">
      <c r="D325" s="9" t="s">
        <v>1553</v>
      </c>
      <c r="E325" s="9" t="s">
        <v>2718</v>
      </c>
      <c r="F325" s="4" t="s">
        <v>2070</v>
      </c>
      <c r="G325" s="9" t="s">
        <v>728</v>
      </c>
      <c r="H325" s="164">
        <v>3714486.3530301619</v>
      </c>
      <c r="I325" s="165">
        <v>9135410.1473022755</v>
      </c>
      <c r="J325" s="165">
        <v>3083766.6047753422</v>
      </c>
      <c r="K325" s="165">
        <v>7197121.4021442272</v>
      </c>
      <c r="L325" s="177">
        <f t="shared" si="57"/>
        <v>6798252.9578055041</v>
      </c>
      <c r="M325" s="166">
        <f t="shared" si="58"/>
        <v>16332531.549446503</v>
      </c>
      <c r="N325" s="189">
        <f>INDEX('CHIRP Payment Calc'!AM:AM,MATCH(F325,'CHIRP Payment Calc'!C:C,0))</f>
        <v>1.8599999999999999</v>
      </c>
      <c r="O325" s="189">
        <f>INDEX('CHIRP Payment Calc'!AL:AL,MATCH(FeeCalc!F325,'CHIRP Payment Calc'!C:C,0))</f>
        <v>1.01</v>
      </c>
      <c r="P325" s="164">
        <f t="shared" si="55"/>
        <v>29140607.366459206</v>
      </c>
      <c r="Q325" s="165">
        <f t="shared" si="59"/>
        <v>984406.64165639831</v>
      </c>
      <c r="R325" s="165">
        <f t="shared" si="60"/>
        <v>830099.90432220034</v>
      </c>
      <c r="S325" s="165">
        <f t="shared" si="61"/>
        <v>1814506.5459785988</v>
      </c>
      <c r="T325" s="165">
        <f t="shared" si="62"/>
        <v>7330445.2165900273</v>
      </c>
      <c r="U325" s="165">
        <f t="shared" si="63"/>
        <v>6101921.1541299317</v>
      </c>
      <c r="V325" s="165">
        <f t="shared" si="64"/>
        <v>9789670.2904777694</v>
      </c>
      <c r="W325" s="165">
        <f t="shared" si="65"/>
        <v>7733077.2512400737</v>
      </c>
      <c r="X325" s="166">
        <f t="shared" si="56"/>
        <v>13834998.405370004</v>
      </c>
    </row>
    <row r="326" spans="4:24">
      <c r="D326" s="9" t="s">
        <v>1553</v>
      </c>
      <c r="E326" s="9" t="s">
        <v>2718</v>
      </c>
      <c r="F326" s="4" t="s">
        <v>2013</v>
      </c>
      <c r="G326" s="9" t="s">
        <v>2981</v>
      </c>
      <c r="H326" s="164">
        <v>2544149.0755358962</v>
      </c>
      <c r="I326" s="165">
        <v>3002326.8284027837</v>
      </c>
      <c r="J326" s="165">
        <v>1123594.1004240979</v>
      </c>
      <c r="K326" s="165">
        <v>1500217.9268294598</v>
      </c>
      <c r="L326" s="177">
        <f t="shared" si="57"/>
        <v>3667743.1759599941</v>
      </c>
      <c r="M326" s="166">
        <f t="shared" si="58"/>
        <v>4502544.7552322438</v>
      </c>
      <c r="N326" s="189">
        <f>INDEX('CHIRP Payment Calc'!AM:AM,MATCH(F326,'CHIRP Payment Calc'!C:C,0))</f>
        <v>2.25</v>
      </c>
      <c r="O326" s="189">
        <f>INDEX('CHIRP Payment Calc'!AL:AL,MATCH(FeeCalc!F326,'CHIRP Payment Calc'!C:C,0))</f>
        <v>2.0699999999999998</v>
      </c>
      <c r="P326" s="164">
        <f t="shared" si="55"/>
        <v>17572689.789240729</v>
      </c>
      <c r="Q326" s="165">
        <f t="shared" si="59"/>
        <v>728383.27575395</v>
      </c>
      <c r="R326" s="165">
        <f t="shared" si="60"/>
        <v>359587.52135050227</v>
      </c>
      <c r="S326" s="165">
        <f t="shared" si="61"/>
        <v>1087970.7971044523</v>
      </c>
      <c r="T326" s="165">
        <f t="shared" si="62"/>
        <v>6073565.4323138101</v>
      </c>
      <c r="U326" s="165">
        <f t="shared" si="63"/>
        <v>2689453.9637810853</v>
      </c>
      <c r="V326" s="165">
        <f t="shared" si="64"/>
        <v>6593969.7981896671</v>
      </c>
      <c r="W326" s="165">
        <f t="shared" si="65"/>
        <v>3303671.3920606188</v>
      </c>
      <c r="X326" s="166">
        <f t="shared" si="56"/>
        <v>5993125.3558417037</v>
      </c>
    </row>
    <row r="327" spans="4:24">
      <c r="D327" s="9" t="s">
        <v>1366</v>
      </c>
      <c r="E327" s="9" t="s">
        <v>1552</v>
      </c>
      <c r="F327" s="4" t="s">
        <v>3588</v>
      </c>
      <c r="G327" s="9" t="s">
        <v>3437</v>
      </c>
      <c r="H327" s="164">
        <v>0</v>
      </c>
      <c r="I327" s="165">
        <v>0</v>
      </c>
      <c r="J327" s="165">
        <v>0</v>
      </c>
      <c r="K327" s="165">
        <v>0</v>
      </c>
      <c r="L327" s="177">
        <f t="shared" si="57"/>
        <v>0</v>
      </c>
      <c r="M327" s="166">
        <f t="shared" si="58"/>
        <v>0</v>
      </c>
      <c r="N327" s="189">
        <f>INDEX('CHIRP Payment Calc'!AM:AM,MATCH(F327,'CHIRP Payment Calc'!C:C,0))</f>
        <v>0.09</v>
      </c>
      <c r="O327" s="189">
        <f>INDEX('CHIRP Payment Calc'!AL:AL,MATCH(FeeCalc!F327,'CHIRP Payment Calc'!C:C,0))</f>
        <v>0.82</v>
      </c>
      <c r="P327" s="164">
        <f t="shared" si="55"/>
        <v>0</v>
      </c>
      <c r="Q327" s="165">
        <f t="shared" si="59"/>
        <v>0</v>
      </c>
      <c r="R327" s="165">
        <f t="shared" si="60"/>
        <v>0</v>
      </c>
      <c r="S327" s="165">
        <f t="shared" si="61"/>
        <v>0</v>
      </c>
      <c r="T327" s="165">
        <f t="shared" si="62"/>
        <v>0</v>
      </c>
      <c r="U327" s="165">
        <f t="shared" si="63"/>
        <v>0</v>
      </c>
      <c r="V327" s="165">
        <f t="shared" si="64"/>
        <v>0</v>
      </c>
      <c r="W327" s="165">
        <f t="shared" si="65"/>
        <v>0</v>
      </c>
      <c r="X327" s="166">
        <f t="shared" si="56"/>
        <v>0</v>
      </c>
    </row>
    <row r="328" spans="4:24">
      <c r="D328" s="9" t="s">
        <v>1366</v>
      </c>
      <c r="E328" s="9" t="s">
        <v>1552</v>
      </c>
      <c r="F328" s="4" t="s">
        <v>86</v>
      </c>
      <c r="G328" s="9" t="s">
        <v>2980</v>
      </c>
      <c r="H328" s="164">
        <v>98929334.731354877</v>
      </c>
      <c r="I328" s="165">
        <v>109325629.63743609</v>
      </c>
      <c r="J328" s="165">
        <v>430919.11941967451</v>
      </c>
      <c r="K328" s="165">
        <v>816091.20781136269</v>
      </c>
      <c r="L328" s="177">
        <f t="shared" si="57"/>
        <v>99360253.850774556</v>
      </c>
      <c r="M328" s="166">
        <f t="shared" si="58"/>
        <v>110141720.84524745</v>
      </c>
      <c r="N328" s="189">
        <f>INDEX('CHIRP Payment Calc'!AM:AM,MATCH(F328,'CHIRP Payment Calc'!C:C,0))</f>
        <v>0.82</v>
      </c>
      <c r="O328" s="189">
        <f>INDEX('CHIRP Payment Calc'!AL:AL,MATCH(FeeCalc!F328,'CHIRP Payment Calc'!C:C,0))</f>
        <v>2.2599999999999998</v>
      </c>
      <c r="P328" s="164">
        <f t="shared" si="55"/>
        <v>330395697.26789433</v>
      </c>
      <c r="Q328" s="165">
        <f t="shared" si="59"/>
        <v>20022688.280072365</v>
      </c>
      <c r="R328" s="165">
        <f t="shared" si="60"/>
        <v>140279.98771773273</v>
      </c>
      <c r="S328" s="165">
        <f t="shared" si="61"/>
        <v>20162968.267790098</v>
      </c>
      <c r="T328" s="165">
        <f t="shared" si="62"/>
        <v>86071145.336563393</v>
      </c>
      <c r="U328" s="165">
        <f t="shared" si="63"/>
        <v>375908.1680043969</v>
      </c>
      <c r="V328" s="165">
        <f t="shared" si="64"/>
        <v>262149520.40382552</v>
      </c>
      <c r="W328" s="165">
        <f t="shared" si="65"/>
        <v>1962091.6272911485</v>
      </c>
      <c r="X328" s="166">
        <f t="shared" si="56"/>
        <v>2337999.7952955454</v>
      </c>
    </row>
    <row r="329" spans="4:24">
      <c r="D329" s="9" t="s">
        <v>1366</v>
      </c>
      <c r="E329" s="9" t="s">
        <v>3069</v>
      </c>
      <c r="F329" s="4" t="s">
        <v>1276</v>
      </c>
      <c r="G329" s="9" t="s">
        <v>3337</v>
      </c>
      <c r="H329" s="164">
        <v>0</v>
      </c>
      <c r="I329" s="165">
        <v>2429056.5145560945</v>
      </c>
      <c r="J329" s="165">
        <v>0</v>
      </c>
      <c r="K329" s="165">
        <v>0</v>
      </c>
      <c r="L329" s="177">
        <f t="shared" si="57"/>
        <v>0</v>
      </c>
      <c r="M329" s="166">
        <f t="shared" si="58"/>
        <v>2429056.5145560945</v>
      </c>
      <c r="N329" s="189">
        <f>INDEX('CHIRP Payment Calc'!AM:AM,MATCH(F329,'CHIRP Payment Calc'!C:C,0))</f>
        <v>0</v>
      </c>
      <c r="O329" s="189">
        <f>INDEX('CHIRP Payment Calc'!AL:AL,MATCH(FeeCalc!F329,'CHIRP Payment Calc'!C:C,0))</f>
        <v>0.37</v>
      </c>
      <c r="P329" s="164">
        <f t="shared" si="55"/>
        <v>898750.91038575501</v>
      </c>
      <c r="Q329" s="165">
        <f t="shared" si="59"/>
        <v>54830.957397539423</v>
      </c>
      <c r="R329" s="165">
        <f t="shared" si="60"/>
        <v>0</v>
      </c>
      <c r="S329" s="165">
        <f t="shared" si="61"/>
        <v>54830.957397539423</v>
      </c>
      <c r="T329" s="165">
        <f t="shared" si="62"/>
        <v>0</v>
      </c>
      <c r="U329" s="165">
        <f t="shared" si="63"/>
        <v>0</v>
      </c>
      <c r="V329" s="165">
        <f t="shared" si="64"/>
        <v>953581.86778329429</v>
      </c>
      <c r="W329" s="165">
        <f t="shared" si="65"/>
        <v>0</v>
      </c>
      <c r="X329" s="166">
        <f t="shared" si="56"/>
        <v>0</v>
      </c>
    </row>
    <row r="330" spans="4:24">
      <c r="D330" s="9" t="s">
        <v>1366</v>
      </c>
      <c r="E330" s="9" t="s">
        <v>3069</v>
      </c>
      <c r="F330" s="4" t="s">
        <v>1273</v>
      </c>
      <c r="G330" s="9" t="s">
        <v>3194</v>
      </c>
      <c r="H330" s="164">
        <v>0</v>
      </c>
      <c r="I330" s="165">
        <v>1738893.4697351537</v>
      </c>
      <c r="J330" s="165">
        <v>0</v>
      </c>
      <c r="K330" s="165">
        <v>0</v>
      </c>
      <c r="L330" s="177">
        <f t="shared" si="57"/>
        <v>0</v>
      </c>
      <c r="M330" s="166">
        <f t="shared" si="58"/>
        <v>1738893.4697351537</v>
      </c>
      <c r="N330" s="189">
        <f>INDEX('CHIRP Payment Calc'!AM:AM,MATCH(F330,'CHIRP Payment Calc'!C:C,0))</f>
        <v>0</v>
      </c>
      <c r="O330" s="189">
        <f>INDEX('CHIRP Payment Calc'!AL:AL,MATCH(FeeCalc!F330,'CHIRP Payment Calc'!C:C,0))</f>
        <v>0.37</v>
      </c>
      <c r="P330" s="164">
        <f t="shared" si="55"/>
        <v>643390.58380200691</v>
      </c>
      <c r="Q330" s="165">
        <f t="shared" si="59"/>
        <v>39251.945430891668</v>
      </c>
      <c r="R330" s="165">
        <f t="shared" si="60"/>
        <v>0</v>
      </c>
      <c r="S330" s="165">
        <f t="shared" si="61"/>
        <v>39251.945430891668</v>
      </c>
      <c r="T330" s="165">
        <f t="shared" si="62"/>
        <v>0</v>
      </c>
      <c r="U330" s="165">
        <f t="shared" si="63"/>
        <v>0</v>
      </c>
      <c r="V330" s="165">
        <f t="shared" si="64"/>
        <v>682642.52923289849</v>
      </c>
      <c r="W330" s="165">
        <f t="shared" si="65"/>
        <v>0</v>
      </c>
      <c r="X330" s="166">
        <f t="shared" si="56"/>
        <v>0</v>
      </c>
    </row>
    <row r="331" spans="4:24">
      <c r="D331" s="9" t="s">
        <v>1366</v>
      </c>
      <c r="E331" s="9" t="s">
        <v>3069</v>
      </c>
      <c r="F331" s="4" t="s">
        <v>1347</v>
      </c>
      <c r="G331" s="9" t="s">
        <v>3341</v>
      </c>
      <c r="H331" s="164">
        <v>0</v>
      </c>
      <c r="I331" s="165">
        <v>1192948.4348202052</v>
      </c>
      <c r="J331" s="165">
        <v>0</v>
      </c>
      <c r="K331" s="165">
        <v>0</v>
      </c>
      <c r="L331" s="177">
        <f t="shared" si="57"/>
        <v>0</v>
      </c>
      <c r="M331" s="166">
        <f t="shared" si="58"/>
        <v>1192948.4348202052</v>
      </c>
      <c r="N331" s="189">
        <f>INDEX('CHIRP Payment Calc'!AM:AM,MATCH(F331,'CHIRP Payment Calc'!C:C,0))</f>
        <v>0</v>
      </c>
      <c r="O331" s="189">
        <f>INDEX('CHIRP Payment Calc'!AL:AL,MATCH(FeeCalc!F331,'CHIRP Payment Calc'!C:C,0))</f>
        <v>0.37</v>
      </c>
      <c r="P331" s="164">
        <f t="shared" si="55"/>
        <v>441390.92088347592</v>
      </c>
      <c r="Q331" s="165">
        <f t="shared" si="59"/>
        <v>26928.358568487922</v>
      </c>
      <c r="R331" s="165">
        <f t="shared" si="60"/>
        <v>0</v>
      </c>
      <c r="S331" s="165">
        <f t="shared" si="61"/>
        <v>26928.358568487922</v>
      </c>
      <c r="T331" s="165">
        <f t="shared" si="62"/>
        <v>0</v>
      </c>
      <c r="U331" s="165">
        <f t="shared" si="63"/>
        <v>0</v>
      </c>
      <c r="V331" s="165">
        <f t="shared" si="64"/>
        <v>468319.27945196384</v>
      </c>
      <c r="W331" s="165">
        <f t="shared" si="65"/>
        <v>0</v>
      </c>
      <c r="X331" s="166">
        <f t="shared" si="56"/>
        <v>0</v>
      </c>
    </row>
    <row r="332" spans="4:24">
      <c r="D332" s="9" t="s">
        <v>1366</v>
      </c>
      <c r="E332" s="9" t="s">
        <v>2768</v>
      </c>
      <c r="F332" s="4" t="s">
        <v>781</v>
      </c>
      <c r="G332" s="9" t="s">
        <v>2976</v>
      </c>
      <c r="H332" s="164">
        <v>1277945.2224712346</v>
      </c>
      <c r="I332" s="165">
        <v>1862057.150653109</v>
      </c>
      <c r="J332" s="165">
        <v>454315.58737178007</v>
      </c>
      <c r="K332" s="165">
        <v>2062600.8177778008</v>
      </c>
      <c r="L332" s="177">
        <f t="shared" si="57"/>
        <v>1732260.8098430147</v>
      </c>
      <c r="M332" s="166">
        <f t="shared" si="58"/>
        <v>3924657.9684309098</v>
      </c>
      <c r="N332" s="189">
        <f>INDEX('CHIRP Payment Calc'!AM:AM,MATCH(F332,'CHIRP Payment Calc'!C:C,0))</f>
        <v>3.14</v>
      </c>
      <c r="O332" s="189">
        <f>INDEX('CHIRP Payment Calc'!AL:AL,MATCH(FeeCalc!F332,'CHIRP Payment Calc'!C:C,0))</f>
        <v>0.98</v>
      </c>
      <c r="P332" s="164">
        <f t="shared" si="55"/>
        <v>9285463.751969358</v>
      </c>
      <c r="Q332" s="165">
        <f t="shared" si="59"/>
        <v>356137.8571421582</v>
      </c>
      <c r="R332" s="165">
        <f t="shared" si="60"/>
        <v>220078.70717678522</v>
      </c>
      <c r="S332" s="165">
        <f t="shared" si="61"/>
        <v>576216.56431894342</v>
      </c>
      <c r="T332" s="165">
        <f t="shared" si="62"/>
        <v>4257557.5581535036</v>
      </c>
      <c r="U332" s="165">
        <f t="shared" si="63"/>
        <v>1517607.3876036059</v>
      </c>
      <c r="V332" s="165">
        <f t="shared" si="64"/>
        <v>1936144.3051883783</v>
      </c>
      <c r="W332" s="165">
        <f t="shared" si="65"/>
        <v>2150371.0653428137</v>
      </c>
      <c r="X332" s="166">
        <f t="shared" si="56"/>
        <v>3667978.4529464198</v>
      </c>
    </row>
    <row r="333" spans="4:24">
      <c r="D333" s="9" t="s">
        <v>1366</v>
      </c>
      <c r="E333" s="9" t="s">
        <v>2768</v>
      </c>
      <c r="F333" s="4" t="s">
        <v>1079</v>
      </c>
      <c r="G333" s="9" t="s">
        <v>3312</v>
      </c>
      <c r="H333" s="164">
        <v>2080659.1680093494</v>
      </c>
      <c r="I333" s="165">
        <v>1474966.2719216514</v>
      </c>
      <c r="J333" s="165">
        <v>809642.00812153332</v>
      </c>
      <c r="K333" s="165">
        <v>2227581.816819821</v>
      </c>
      <c r="L333" s="177">
        <f t="shared" si="57"/>
        <v>2890301.1761308825</v>
      </c>
      <c r="M333" s="166">
        <f t="shared" si="58"/>
        <v>3702548.0887414725</v>
      </c>
      <c r="N333" s="189">
        <f>INDEX('CHIRP Payment Calc'!AM:AM,MATCH(F333,'CHIRP Payment Calc'!C:C,0))</f>
        <v>1.47</v>
      </c>
      <c r="O333" s="189">
        <f>INDEX('CHIRP Payment Calc'!AL:AL,MATCH(FeeCalc!F333,'CHIRP Payment Calc'!C:C,0))</f>
        <v>0.47</v>
      </c>
      <c r="P333" s="164">
        <f t="shared" si="55"/>
        <v>5988940.3306208896</v>
      </c>
      <c r="Q333" s="165">
        <f t="shared" si="59"/>
        <v>228889.8458086715</v>
      </c>
      <c r="R333" s="165">
        <f t="shared" si="60"/>
        <v>142795.99186238108</v>
      </c>
      <c r="S333" s="165">
        <f t="shared" si="61"/>
        <v>371685.83767105255</v>
      </c>
      <c r="T333" s="165">
        <f t="shared" si="62"/>
        <v>3245166.0233143168</v>
      </c>
      <c r="U333" s="165">
        <f t="shared" si="63"/>
        <v>1266142.2892964403</v>
      </c>
      <c r="V333" s="165">
        <f t="shared" si="64"/>
        <v>735526.9472712744</v>
      </c>
      <c r="W333" s="165">
        <f t="shared" si="65"/>
        <v>1113790.9084099105</v>
      </c>
      <c r="X333" s="166">
        <f t="shared" si="56"/>
        <v>2379933.1977063511</v>
      </c>
    </row>
    <row r="334" spans="4:24">
      <c r="D334" s="9" t="s">
        <v>1366</v>
      </c>
      <c r="E334" s="9" t="s">
        <v>2718</v>
      </c>
      <c r="F334" s="4" t="s">
        <v>1117</v>
      </c>
      <c r="G334" s="9" t="s">
        <v>3469</v>
      </c>
      <c r="H334" s="164">
        <v>957897.22863236163</v>
      </c>
      <c r="I334" s="165">
        <v>3313428.6535921185</v>
      </c>
      <c r="J334" s="165">
        <v>250424.24781567272</v>
      </c>
      <c r="K334" s="165">
        <v>1257809.7206640502</v>
      </c>
      <c r="L334" s="177">
        <f t="shared" si="57"/>
        <v>1208321.4764480344</v>
      </c>
      <c r="M334" s="166">
        <f t="shared" si="58"/>
        <v>4571238.3742561685</v>
      </c>
      <c r="N334" s="189">
        <f>INDEX('CHIRP Payment Calc'!AM:AM,MATCH(F334,'CHIRP Payment Calc'!C:C,0))</f>
        <v>3.2</v>
      </c>
      <c r="O334" s="189">
        <f>INDEX('CHIRP Payment Calc'!AL:AL,MATCH(FeeCalc!F334,'CHIRP Payment Calc'!C:C,0))</f>
        <v>2.9</v>
      </c>
      <c r="P334" s="164">
        <f t="shared" si="55"/>
        <v>17123220.009976599</v>
      </c>
      <c r="Q334" s="165">
        <f t="shared" si="59"/>
        <v>773227.92366561305</v>
      </c>
      <c r="R334" s="165">
        <f t="shared" si="60"/>
        <v>283979.09252782335</v>
      </c>
      <c r="S334" s="165">
        <f t="shared" si="61"/>
        <v>1057207.0161934365</v>
      </c>
      <c r="T334" s="165">
        <f t="shared" si="62"/>
        <v>3252277.0627305647</v>
      </c>
      <c r="U334" s="165">
        <f t="shared" si="63"/>
        <v>852508.07767037535</v>
      </c>
      <c r="V334" s="165">
        <f t="shared" si="64"/>
        <v>10195165.087975748</v>
      </c>
      <c r="W334" s="165">
        <f t="shared" si="65"/>
        <v>3880476.7977933465</v>
      </c>
      <c r="X334" s="166">
        <f t="shared" si="56"/>
        <v>4732984.8754637223</v>
      </c>
    </row>
    <row r="335" spans="4:24">
      <c r="D335" s="9" t="s">
        <v>1366</v>
      </c>
      <c r="E335" s="9" t="s">
        <v>2718</v>
      </c>
      <c r="F335" s="4" t="s">
        <v>1111</v>
      </c>
      <c r="G335" s="9" t="s">
        <v>3099</v>
      </c>
      <c r="H335" s="164">
        <v>2533179.0330521669</v>
      </c>
      <c r="I335" s="165">
        <v>2534462.8367216247</v>
      </c>
      <c r="J335" s="165">
        <v>844628.00947252137</v>
      </c>
      <c r="K335" s="165">
        <v>2190318.0449476121</v>
      </c>
      <c r="L335" s="177">
        <f t="shared" si="57"/>
        <v>3377807.0425246884</v>
      </c>
      <c r="M335" s="166">
        <f t="shared" si="58"/>
        <v>4724780.8816692363</v>
      </c>
      <c r="N335" s="189">
        <f>INDEX('CHIRP Payment Calc'!AM:AM,MATCH(F335,'CHIRP Payment Calc'!C:C,0))</f>
        <v>1.66</v>
      </c>
      <c r="O335" s="189">
        <f>INDEX('CHIRP Payment Calc'!AL:AL,MATCH(FeeCalc!F335,'CHIRP Payment Calc'!C:C,0))</f>
        <v>3.25</v>
      </c>
      <c r="P335" s="164">
        <f t="shared" si="55"/>
        <v>20962697.556016002</v>
      </c>
      <c r="Q335" s="165">
        <f t="shared" si="59"/>
        <v>759065.97487234266</v>
      </c>
      <c r="R335" s="165">
        <f t="shared" si="60"/>
        <v>543869.11543430586</v>
      </c>
      <c r="S335" s="165">
        <f t="shared" si="61"/>
        <v>1302935.0903066485</v>
      </c>
      <c r="T335" s="165">
        <f t="shared" si="62"/>
        <v>4461620.3659062041</v>
      </c>
      <c r="U335" s="165">
        <f t="shared" si="63"/>
        <v>1491577.1231110485</v>
      </c>
      <c r="V335" s="165">
        <f t="shared" si="64"/>
        <v>8739527.0231780168</v>
      </c>
      <c r="W335" s="165">
        <f t="shared" si="65"/>
        <v>7572908.1341273831</v>
      </c>
      <c r="X335" s="166">
        <f t="shared" si="56"/>
        <v>9064485.2572384309</v>
      </c>
    </row>
    <row r="336" spans="4:24">
      <c r="D336" s="9" t="s">
        <v>1366</v>
      </c>
      <c r="E336" s="9" t="s">
        <v>2718</v>
      </c>
      <c r="F336" s="4" t="s">
        <v>936</v>
      </c>
      <c r="G336" s="9" t="s">
        <v>3001</v>
      </c>
      <c r="H336" s="164">
        <v>0</v>
      </c>
      <c r="I336" s="165">
        <v>0</v>
      </c>
      <c r="J336" s="165">
        <v>0</v>
      </c>
      <c r="K336" s="165">
        <v>0</v>
      </c>
      <c r="L336" s="177">
        <f t="shared" si="57"/>
        <v>0</v>
      </c>
      <c r="M336" s="166">
        <f t="shared" si="58"/>
        <v>0</v>
      </c>
      <c r="N336" s="189">
        <f>INDEX('CHIRP Payment Calc'!AM:AM,MATCH(F336,'CHIRP Payment Calc'!C:C,0))</f>
        <v>1.42</v>
      </c>
      <c r="O336" s="189">
        <f>INDEX('CHIRP Payment Calc'!AL:AL,MATCH(FeeCalc!F336,'CHIRP Payment Calc'!C:C,0))</f>
        <v>1.68</v>
      </c>
      <c r="P336" s="164">
        <f t="shared" si="55"/>
        <v>0</v>
      </c>
      <c r="Q336" s="165">
        <f t="shared" si="59"/>
        <v>0</v>
      </c>
      <c r="R336" s="165">
        <f t="shared" si="60"/>
        <v>0</v>
      </c>
      <c r="S336" s="165">
        <f t="shared" si="61"/>
        <v>0</v>
      </c>
      <c r="T336" s="165">
        <f t="shared" si="62"/>
        <v>0</v>
      </c>
      <c r="U336" s="165">
        <f t="shared" si="63"/>
        <v>0</v>
      </c>
      <c r="V336" s="165">
        <f t="shared" si="64"/>
        <v>0</v>
      </c>
      <c r="W336" s="165">
        <f t="shared" si="65"/>
        <v>0</v>
      </c>
      <c r="X336" s="166">
        <f t="shared" si="56"/>
        <v>0</v>
      </c>
    </row>
    <row r="337" spans="4:24">
      <c r="D337" s="9" t="s">
        <v>1366</v>
      </c>
      <c r="E337" s="9" t="s">
        <v>2718</v>
      </c>
      <c r="F337" s="4" t="s">
        <v>3074</v>
      </c>
      <c r="G337" s="9" t="s">
        <v>3476</v>
      </c>
      <c r="H337" s="164">
        <v>415970.13595952996</v>
      </c>
      <c r="I337" s="165">
        <v>135221.65315012564</v>
      </c>
      <c r="J337" s="165">
        <v>125612.90612849008</v>
      </c>
      <c r="K337" s="165">
        <v>90488.248305397079</v>
      </c>
      <c r="L337" s="177">
        <f t="shared" si="57"/>
        <v>541583.04208802001</v>
      </c>
      <c r="M337" s="166">
        <f t="shared" si="58"/>
        <v>225709.90145552272</v>
      </c>
      <c r="N337" s="189">
        <f>INDEX('CHIRP Payment Calc'!AM:AM,MATCH(F337,'CHIRP Payment Calc'!C:C,0))</f>
        <v>1.5499999999999998</v>
      </c>
      <c r="O337" s="189">
        <f>INDEX('CHIRP Payment Calc'!AL:AL,MATCH(FeeCalc!F337,'CHIRP Payment Calc'!C:C,0))</f>
        <v>5.2299999999999995</v>
      </c>
      <c r="P337" s="164">
        <f t="shared" si="55"/>
        <v>2019916.4998488147</v>
      </c>
      <c r="Q337" s="165">
        <f t="shared" si="59"/>
        <v>82480.498685373619</v>
      </c>
      <c r="R337" s="165">
        <f t="shared" si="60"/>
        <v>42635.332540620409</v>
      </c>
      <c r="S337" s="165">
        <f t="shared" si="61"/>
        <v>125115.83122599403</v>
      </c>
      <c r="T337" s="165">
        <f t="shared" si="62"/>
        <v>684088.81775837811</v>
      </c>
      <c r="U337" s="165">
        <f t="shared" si="63"/>
        <v>207127.66436080809</v>
      </c>
      <c r="V337" s="165">
        <f t="shared" si="64"/>
        <v>750354.63763942383</v>
      </c>
      <c r="W337" s="165">
        <f t="shared" si="65"/>
        <v>503461.21131619863</v>
      </c>
      <c r="X337" s="166">
        <f t="shared" si="56"/>
        <v>710588.87567700678</v>
      </c>
    </row>
    <row r="338" spans="4:24">
      <c r="D338" s="9" t="s">
        <v>1366</v>
      </c>
      <c r="E338" s="9" t="s">
        <v>2718</v>
      </c>
      <c r="F338" s="4" t="s">
        <v>1659</v>
      </c>
      <c r="G338" s="9" t="s">
        <v>3454</v>
      </c>
      <c r="H338" s="164">
        <v>1439574.278949301</v>
      </c>
      <c r="I338" s="165">
        <v>4042391.6297586886</v>
      </c>
      <c r="J338" s="165">
        <v>231651.39627130466</v>
      </c>
      <c r="K338" s="165">
        <v>831640.00583663175</v>
      </c>
      <c r="L338" s="177">
        <f t="shared" si="57"/>
        <v>1671225.6752206057</v>
      </c>
      <c r="M338" s="166">
        <f t="shared" si="58"/>
        <v>4874031.6355953207</v>
      </c>
      <c r="N338" s="189">
        <f>INDEX('CHIRP Payment Calc'!AM:AM,MATCH(F338,'CHIRP Payment Calc'!C:C,0))</f>
        <v>2.7</v>
      </c>
      <c r="O338" s="189">
        <f>INDEX('CHIRP Payment Calc'!AL:AL,MATCH(FeeCalc!F338,'CHIRP Payment Calc'!C:C,0))</f>
        <v>3.34</v>
      </c>
      <c r="P338" s="164">
        <f t="shared" si="55"/>
        <v>20791574.985984005</v>
      </c>
      <c r="Q338" s="165">
        <f t="shared" si="59"/>
        <v>1060833.1239278889</v>
      </c>
      <c r="R338" s="165">
        <f t="shared" si="60"/>
        <v>217221.4716655451</v>
      </c>
      <c r="S338" s="165">
        <f t="shared" si="61"/>
        <v>1278054.5955934341</v>
      </c>
      <c r="T338" s="165">
        <f t="shared" si="62"/>
        <v>4123979.3667513132</v>
      </c>
      <c r="U338" s="165">
        <f t="shared" si="63"/>
        <v>665381.67014098156</v>
      </c>
      <c r="V338" s="165">
        <f t="shared" si="64"/>
        <v>14325292.353733709</v>
      </c>
      <c r="W338" s="165">
        <f t="shared" si="65"/>
        <v>2954976.1909514363</v>
      </c>
      <c r="X338" s="166">
        <f t="shared" si="56"/>
        <v>3620357.861092418</v>
      </c>
    </row>
    <row r="339" spans="4:24">
      <c r="D339" s="9" t="s">
        <v>1366</v>
      </c>
      <c r="E339" s="9" t="s">
        <v>2718</v>
      </c>
      <c r="F339" s="4" t="s">
        <v>624</v>
      </c>
      <c r="G339" s="9" t="s">
        <v>2962</v>
      </c>
      <c r="H339" s="164">
        <v>2495106.2887449777</v>
      </c>
      <c r="I339" s="165">
        <v>13372591.524399588</v>
      </c>
      <c r="J339" s="165">
        <v>509991.70449421118</v>
      </c>
      <c r="K339" s="165">
        <v>3222419.5800483795</v>
      </c>
      <c r="L339" s="177">
        <f t="shared" si="57"/>
        <v>3005097.993239189</v>
      </c>
      <c r="M339" s="166">
        <f t="shared" si="58"/>
        <v>16595011.104447968</v>
      </c>
      <c r="N339" s="189">
        <f>INDEX('CHIRP Payment Calc'!AM:AM,MATCH(F339,'CHIRP Payment Calc'!C:C,0))</f>
        <v>3.1399999999999997</v>
      </c>
      <c r="O339" s="189">
        <f>INDEX('CHIRP Payment Calc'!AL:AL,MATCH(FeeCalc!F339,'CHIRP Payment Calc'!C:C,0))</f>
        <v>2.44</v>
      </c>
      <c r="P339" s="164">
        <f t="shared" si="55"/>
        <v>49927834.793624096</v>
      </c>
      <c r="Q339" s="165">
        <f t="shared" si="59"/>
        <v>2468611.1737996475</v>
      </c>
      <c r="R339" s="165">
        <f t="shared" si="60"/>
        <v>604090.0677082896</v>
      </c>
      <c r="S339" s="165">
        <f t="shared" si="61"/>
        <v>3072701.2415079372</v>
      </c>
      <c r="T339" s="165">
        <f t="shared" si="62"/>
        <v>8312608.7497710651</v>
      </c>
      <c r="U339" s="165">
        <f t="shared" si="63"/>
        <v>1703589.3107572584</v>
      </c>
      <c r="V339" s="165">
        <f t="shared" si="64"/>
        <v>34619759.490222804</v>
      </c>
      <c r="W339" s="165">
        <f t="shared" si="65"/>
        <v>8364578.4843809009</v>
      </c>
      <c r="X339" s="166">
        <f t="shared" si="56"/>
        <v>10068167.79513816</v>
      </c>
    </row>
    <row r="340" spans="4:24">
      <c r="D340" s="9" t="s">
        <v>1366</v>
      </c>
      <c r="E340" s="9" t="s">
        <v>2718</v>
      </c>
      <c r="F340" s="4" t="s">
        <v>1090</v>
      </c>
      <c r="G340" s="9" t="s">
        <v>3468</v>
      </c>
      <c r="H340" s="164">
        <v>1710822.6647757976</v>
      </c>
      <c r="I340" s="165">
        <v>4876321.9710103385</v>
      </c>
      <c r="J340" s="165">
        <v>616259.20067913365</v>
      </c>
      <c r="K340" s="165">
        <v>2085293.4934010718</v>
      </c>
      <c r="L340" s="177">
        <f t="shared" si="57"/>
        <v>2327081.8654549313</v>
      </c>
      <c r="M340" s="166">
        <f t="shared" si="58"/>
        <v>6961615.4644114105</v>
      </c>
      <c r="N340" s="189">
        <f>INDEX('CHIRP Payment Calc'!AM:AM,MATCH(F340,'CHIRP Payment Calc'!C:C,0))</f>
        <v>2.54</v>
      </c>
      <c r="O340" s="189">
        <f>INDEX('CHIRP Payment Calc'!AL:AL,MATCH(FeeCalc!F340,'CHIRP Payment Calc'!C:C,0))</f>
        <v>2.6399999999999997</v>
      </c>
      <c r="P340" s="164">
        <f t="shared" si="55"/>
        <v>24289452.764301647</v>
      </c>
      <c r="Q340" s="165">
        <f t="shared" si="59"/>
        <v>1050494.7749494689</v>
      </c>
      <c r="R340" s="165">
        <f t="shared" si="60"/>
        <v>451306.79950875504</v>
      </c>
      <c r="S340" s="165">
        <f t="shared" si="61"/>
        <v>1501801.574458224</v>
      </c>
      <c r="T340" s="165">
        <f t="shared" si="62"/>
        <v>4610599.0117034754</v>
      </c>
      <c r="U340" s="165">
        <f t="shared" si="63"/>
        <v>1665211.03162234</v>
      </c>
      <c r="V340" s="165">
        <f t="shared" si="64"/>
        <v>13658875.33524381</v>
      </c>
      <c r="W340" s="165">
        <f t="shared" si="65"/>
        <v>5856568.9601902431</v>
      </c>
      <c r="X340" s="166">
        <f t="shared" si="56"/>
        <v>7521779.9918125831</v>
      </c>
    </row>
    <row r="341" spans="4:24">
      <c r="D341" s="9" t="s">
        <v>1366</v>
      </c>
      <c r="E341" s="9" t="s">
        <v>2718</v>
      </c>
      <c r="F341" s="4" t="s">
        <v>2752</v>
      </c>
      <c r="G341" s="9" t="s">
        <v>3557</v>
      </c>
      <c r="H341" s="164">
        <v>116059.74605496143</v>
      </c>
      <c r="I341" s="165">
        <v>7553.9345069392903</v>
      </c>
      <c r="J341" s="165">
        <v>66250.359492444026</v>
      </c>
      <c r="K341" s="165">
        <v>365406.87348542421</v>
      </c>
      <c r="L341" s="177">
        <f t="shared" si="57"/>
        <v>182310.10554740546</v>
      </c>
      <c r="M341" s="166">
        <f t="shared" si="58"/>
        <v>372960.80799236352</v>
      </c>
      <c r="N341" s="189">
        <f>INDEX('CHIRP Payment Calc'!AM:AM,MATCH(F341,'CHIRP Payment Calc'!C:C,0))</f>
        <v>2.0499999999999998</v>
      </c>
      <c r="O341" s="189">
        <f>INDEX('CHIRP Payment Calc'!AL:AL,MATCH(FeeCalc!F341,'CHIRP Payment Calc'!C:C,0))</f>
        <v>1.68</v>
      </c>
      <c r="P341" s="164">
        <f t="shared" si="55"/>
        <v>1000309.8737993517</v>
      </c>
      <c r="Q341" s="165">
        <f t="shared" si="59"/>
        <v>15289.392721059856</v>
      </c>
      <c r="R341" s="165">
        <f t="shared" si="60"/>
        <v>47852.986239256788</v>
      </c>
      <c r="S341" s="165">
        <f t="shared" si="61"/>
        <v>63142.378960316644</v>
      </c>
      <c r="T341" s="165">
        <f t="shared" si="62"/>
        <v>252437.64393917337</v>
      </c>
      <c r="U341" s="165">
        <f t="shared" si="63"/>
        <v>144482.16697820238</v>
      </c>
      <c r="V341" s="165">
        <f t="shared" si="64"/>
        <v>13464.838166215392</v>
      </c>
      <c r="W341" s="165">
        <f t="shared" si="65"/>
        <v>653067.60367607733</v>
      </c>
      <c r="X341" s="166">
        <f t="shared" si="56"/>
        <v>797549.77065427974</v>
      </c>
    </row>
    <row r="342" spans="4:24">
      <c r="D342" s="9" t="s">
        <v>1366</v>
      </c>
      <c r="E342" s="9" t="s">
        <v>2718</v>
      </c>
      <c r="F342" s="4" t="s">
        <v>444</v>
      </c>
      <c r="G342" s="9" t="s">
        <v>3484</v>
      </c>
      <c r="H342" s="164">
        <v>0</v>
      </c>
      <c r="I342" s="165">
        <v>0</v>
      </c>
      <c r="J342" s="165">
        <v>0</v>
      </c>
      <c r="K342" s="165">
        <v>0</v>
      </c>
      <c r="L342" s="177">
        <f t="shared" si="57"/>
        <v>0</v>
      </c>
      <c r="M342" s="166">
        <f t="shared" si="58"/>
        <v>0</v>
      </c>
      <c r="N342" s="189">
        <f>INDEX('CHIRP Payment Calc'!AM:AM,MATCH(F342,'CHIRP Payment Calc'!C:C,0))</f>
        <v>1.42</v>
      </c>
      <c r="O342" s="189">
        <f>INDEX('CHIRP Payment Calc'!AL:AL,MATCH(FeeCalc!F342,'CHIRP Payment Calc'!C:C,0))</f>
        <v>1.68</v>
      </c>
      <c r="P342" s="164">
        <f t="shared" si="55"/>
        <v>0</v>
      </c>
      <c r="Q342" s="165">
        <f t="shared" si="59"/>
        <v>0</v>
      </c>
      <c r="R342" s="165">
        <f t="shared" si="60"/>
        <v>0</v>
      </c>
      <c r="S342" s="165">
        <f t="shared" si="61"/>
        <v>0</v>
      </c>
      <c r="T342" s="165">
        <f t="shared" si="62"/>
        <v>0</v>
      </c>
      <c r="U342" s="165">
        <f t="shared" si="63"/>
        <v>0</v>
      </c>
      <c r="V342" s="165">
        <f t="shared" si="64"/>
        <v>0</v>
      </c>
      <c r="W342" s="165">
        <f t="shared" si="65"/>
        <v>0</v>
      </c>
      <c r="X342" s="166">
        <f t="shared" si="56"/>
        <v>0</v>
      </c>
    </row>
    <row r="343" spans="4:24">
      <c r="D343" s="9" t="s">
        <v>1366</v>
      </c>
      <c r="E343" s="9" t="s">
        <v>2718</v>
      </c>
      <c r="F343" s="4" t="s">
        <v>1093</v>
      </c>
      <c r="G343" s="9" t="s">
        <v>3470</v>
      </c>
      <c r="H343" s="164">
        <v>789807.87396718794</v>
      </c>
      <c r="I343" s="165">
        <v>1441956.2883836518</v>
      </c>
      <c r="J343" s="165">
        <v>134670.40880344805</v>
      </c>
      <c r="K343" s="165">
        <v>326563.38576586515</v>
      </c>
      <c r="L343" s="177">
        <f t="shared" si="57"/>
        <v>924478.28277063603</v>
      </c>
      <c r="M343" s="166">
        <f t="shared" si="58"/>
        <v>1768519.674149517</v>
      </c>
      <c r="N343" s="189">
        <f>INDEX('CHIRP Payment Calc'!AM:AM,MATCH(F343,'CHIRP Payment Calc'!C:C,0))</f>
        <v>2.63</v>
      </c>
      <c r="O343" s="189">
        <f>INDEX('CHIRP Payment Calc'!AL:AL,MATCH(FeeCalc!F343,'CHIRP Payment Calc'!C:C,0))</f>
        <v>3.08</v>
      </c>
      <c r="P343" s="164">
        <f t="shared" si="55"/>
        <v>7878418.4800672848</v>
      </c>
      <c r="Q343" s="165">
        <f t="shared" si="59"/>
        <v>397675.49539886758</v>
      </c>
      <c r="R343" s="165">
        <f t="shared" si="60"/>
        <v>86808.408722038279</v>
      </c>
      <c r="S343" s="165">
        <f t="shared" si="61"/>
        <v>484483.90412090585</v>
      </c>
      <c r="T343" s="165">
        <f t="shared" si="62"/>
        <v>2203920.1151551236</v>
      </c>
      <c r="U343" s="165">
        <f t="shared" si="63"/>
        <v>376790.61186496634</v>
      </c>
      <c r="V343" s="165">
        <f t="shared" si="64"/>
        <v>4712175.4569990952</v>
      </c>
      <c r="W343" s="165">
        <f t="shared" si="65"/>
        <v>1070016.200169005</v>
      </c>
      <c r="X343" s="166">
        <f t="shared" si="56"/>
        <v>1446806.8120339713</v>
      </c>
    </row>
    <row r="344" spans="4:24">
      <c r="D344" s="9" t="s">
        <v>1366</v>
      </c>
      <c r="E344" s="9" t="s">
        <v>2718</v>
      </c>
      <c r="F344" s="4" t="s">
        <v>829</v>
      </c>
      <c r="G344" s="9" t="s">
        <v>2965</v>
      </c>
      <c r="H344" s="164">
        <v>1152351.1476051689</v>
      </c>
      <c r="I344" s="165">
        <v>5188214.6621239455</v>
      </c>
      <c r="J344" s="165">
        <v>324619.04797690734</v>
      </c>
      <c r="K344" s="165">
        <v>817636.72846561519</v>
      </c>
      <c r="L344" s="177">
        <f t="shared" si="57"/>
        <v>1476970.1955820762</v>
      </c>
      <c r="M344" s="166">
        <f t="shared" si="58"/>
        <v>6005851.3905895604</v>
      </c>
      <c r="N344" s="189">
        <f>INDEX('CHIRP Payment Calc'!AM:AM,MATCH(F344,'CHIRP Payment Calc'!C:C,0))</f>
        <v>2.52</v>
      </c>
      <c r="O344" s="189">
        <f>INDEX('CHIRP Payment Calc'!AL:AL,MATCH(FeeCalc!F344,'CHIRP Payment Calc'!C:C,0))</f>
        <v>2.38</v>
      </c>
      <c r="P344" s="164">
        <f t="shared" si="55"/>
        <v>18015891.202469986</v>
      </c>
      <c r="Q344" s="165">
        <f t="shared" si="59"/>
        <v>930485.79076886037</v>
      </c>
      <c r="R344" s="165">
        <f t="shared" si="60"/>
        <v>176426.51582872157</v>
      </c>
      <c r="S344" s="165">
        <f t="shared" si="61"/>
        <v>1106912.3065975821</v>
      </c>
      <c r="T344" s="165">
        <f t="shared" si="62"/>
        <v>3081087.4185305308</v>
      </c>
      <c r="U344" s="165">
        <f t="shared" si="63"/>
        <v>870255.32010830485</v>
      </c>
      <c r="V344" s="165">
        <f t="shared" si="64"/>
        <v>13101274.160058344</v>
      </c>
      <c r="W344" s="165">
        <f t="shared" si="65"/>
        <v>2070186.6103703876</v>
      </c>
      <c r="X344" s="166">
        <f t="shared" si="56"/>
        <v>2940441.9304786925</v>
      </c>
    </row>
    <row r="345" spans="4:24">
      <c r="D345" s="9" t="s">
        <v>1366</v>
      </c>
      <c r="E345" s="9" t="s">
        <v>2718</v>
      </c>
      <c r="F345" s="4" t="s">
        <v>627</v>
      </c>
      <c r="G345" s="9" t="s">
        <v>2966</v>
      </c>
      <c r="H345" s="164">
        <v>792196.13166691503</v>
      </c>
      <c r="I345" s="165">
        <v>495350.36218750215</v>
      </c>
      <c r="J345" s="165">
        <v>369642.16955572006</v>
      </c>
      <c r="K345" s="165">
        <v>1524069.4871477592</v>
      </c>
      <c r="L345" s="177">
        <f t="shared" si="57"/>
        <v>1161838.301222635</v>
      </c>
      <c r="M345" s="166">
        <f t="shared" si="58"/>
        <v>2019419.8493352614</v>
      </c>
      <c r="N345" s="189">
        <f>INDEX('CHIRP Payment Calc'!AM:AM,MATCH(F345,'CHIRP Payment Calc'!C:C,0))</f>
        <v>3.08</v>
      </c>
      <c r="O345" s="189">
        <f>INDEX('CHIRP Payment Calc'!AL:AL,MATCH(FeeCalc!F345,'CHIRP Payment Calc'!C:C,0))</f>
        <v>3.95</v>
      </c>
      <c r="P345" s="164">
        <f t="shared" si="55"/>
        <v>11555170.372639999</v>
      </c>
      <c r="Q345" s="165">
        <f t="shared" si="59"/>
        <v>268227.46517776878</v>
      </c>
      <c r="R345" s="165">
        <f t="shared" si="60"/>
        <v>456930.15041267668</v>
      </c>
      <c r="S345" s="165">
        <f t="shared" si="61"/>
        <v>725157.61559044546</v>
      </c>
      <c r="T345" s="165">
        <f t="shared" si="62"/>
        <v>2588821.3109115101</v>
      </c>
      <c r="U345" s="165">
        <f t="shared" si="63"/>
        <v>1211167.9598208701</v>
      </c>
      <c r="V345" s="165">
        <f t="shared" si="64"/>
        <v>2076004.1704409905</v>
      </c>
      <c r="W345" s="165">
        <f t="shared" si="65"/>
        <v>6404334.5470570736</v>
      </c>
      <c r="X345" s="166">
        <f t="shared" si="56"/>
        <v>7615502.5068779439</v>
      </c>
    </row>
    <row r="346" spans="4:24">
      <c r="D346" s="9" t="s">
        <v>1366</v>
      </c>
      <c r="E346" s="9" t="s">
        <v>2718</v>
      </c>
      <c r="F346" s="4" t="s">
        <v>1102</v>
      </c>
      <c r="G346" s="9" t="s">
        <v>3450</v>
      </c>
      <c r="H346" s="164">
        <v>4006511.2362854988</v>
      </c>
      <c r="I346" s="165">
        <v>15158242.949651647</v>
      </c>
      <c r="J346" s="165">
        <v>2377174.4323276137</v>
      </c>
      <c r="K346" s="165">
        <v>10279379.172376553</v>
      </c>
      <c r="L346" s="177">
        <f t="shared" si="57"/>
        <v>6383685.6686131125</v>
      </c>
      <c r="M346" s="166">
        <f t="shared" si="58"/>
        <v>25437622.122028202</v>
      </c>
      <c r="N346" s="189">
        <f>INDEX('CHIRP Payment Calc'!AM:AM,MATCH(F346,'CHIRP Payment Calc'!C:C,0))</f>
        <v>2.4699999999999998</v>
      </c>
      <c r="O346" s="189">
        <f>INDEX('CHIRP Payment Calc'!AL:AL,MATCH(FeeCalc!F346,'CHIRP Payment Calc'!C:C,0))</f>
        <v>3.21</v>
      </c>
      <c r="P346" s="164">
        <f t="shared" si="55"/>
        <v>97422470.613184914</v>
      </c>
      <c r="Q346" s="165">
        <f t="shared" si="59"/>
        <v>3572262.5472311946</v>
      </c>
      <c r="R346" s="165">
        <f t="shared" si="60"/>
        <v>2480963.4887985922</v>
      </c>
      <c r="S346" s="165">
        <f t="shared" si="61"/>
        <v>6053226.0360297868</v>
      </c>
      <c r="T346" s="165">
        <f t="shared" si="62"/>
        <v>10499822.550265443</v>
      </c>
      <c r="U346" s="165">
        <f t="shared" si="63"/>
        <v>6246405.1572863888</v>
      </c>
      <c r="V346" s="165">
        <f t="shared" si="64"/>
        <v>51626482.618972719</v>
      </c>
      <c r="W346" s="165">
        <f t="shared" si="65"/>
        <v>35102986.322690144</v>
      </c>
      <c r="X346" s="166">
        <f t="shared" si="56"/>
        <v>41349391.479976535</v>
      </c>
    </row>
    <row r="347" spans="4:24">
      <c r="D347" s="9" t="s">
        <v>1366</v>
      </c>
      <c r="E347" s="9" t="s">
        <v>2718</v>
      </c>
      <c r="F347" s="4" t="s">
        <v>3591</v>
      </c>
      <c r="G347" s="9" t="s">
        <v>3562</v>
      </c>
      <c r="H347" s="164">
        <v>415632.92312097189</v>
      </c>
      <c r="I347" s="165">
        <v>190550.21427799552</v>
      </c>
      <c r="J347" s="165">
        <v>119862.92860847394</v>
      </c>
      <c r="K347" s="165">
        <v>164331.06355288342</v>
      </c>
      <c r="L347" s="177">
        <f t="shared" si="57"/>
        <v>535495.85172944586</v>
      </c>
      <c r="M347" s="166">
        <f t="shared" si="58"/>
        <v>354881.27783087897</v>
      </c>
      <c r="N347" s="189">
        <f>INDEX('CHIRP Payment Calc'!AM:AM,MATCH(F347,'CHIRP Payment Calc'!C:C,0))</f>
        <v>1.42</v>
      </c>
      <c r="O347" s="189">
        <f>INDEX('CHIRP Payment Calc'!AL:AL,MATCH(FeeCalc!F347,'CHIRP Payment Calc'!C:C,0))</f>
        <v>1.68</v>
      </c>
      <c r="P347" s="164">
        <f t="shared" si="55"/>
        <v>1356604.6562116896</v>
      </c>
      <c r="Q347" s="165">
        <f t="shared" si="59"/>
        <v>55536.953710431539</v>
      </c>
      <c r="R347" s="165">
        <f t="shared" si="60"/>
        <v>28486.056088907058</v>
      </c>
      <c r="S347" s="165">
        <f t="shared" si="61"/>
        <v>84023.009799338601</v>
      </c>
      <c r="T347" s="165">
        <f t="shared" si="62"/>
        <v>626205.57117430249</v>
      </c>
      <c r="U347" s="165">
        <f t="shared" si="63"/>
        <v>181069.53045109895</v>
      </c>
      <c r="V347" s="165">
        <f t="shared" si="64"/>
        <v>339654.4933549416</v>
      </c>
      <c r="W347" s="165">
        <f t="shared" si="65"/>
        <v>293698.07103068527</v>
      </c>
      <c r="X347" s="166">
        <f t="shared" si="56"/>
        <v>474767.60148178425</v>
      </c>
    </row>
    <row r="348" spans="4:24">
      <c r="D348" s="9" t="s">
        <v>1366</v>
      </c>
      <c r="E348" s="9" t="s">
        <v>2718</v>
      </c>
      <c r="F348" s="4" t="s">
        <v>1099</v>
      </c>
      <c r="G348" s="9" t="s">
        <v>3455</v>
      </c>
      <c r="H348" s="164">
        <v>658400.57237615413</v>
      </c>
      <c r="I348" s="165">
        <v>531212.69759961928</v>
      </c>
      <c r="J348" s="165">
        <v>236442.08765575528</v>
      </c>
      <c r="K348" s="165">
        <v>444971.70205070212</v>
      </c>
      <c r="L348" s="177">
        <f t="shared" si="57"/>
        <v>894842.66003190936</v>
      </c>
      <c r="M348" s="166">
        <f t="shared" si="58"/>
        <v>976184.39965032134</v>
      </c>
      <c r="N348" s="189">
        <f>INDEX('CHIRP Payment Calc'!AM:AM,MATCH(F348,'CHIRP Payment Calc'!C:C,0))</f>
        <v>3.83</v>
      </c>
      <c r="O348" s="189">
        <f>INDEX('CHIRP Payment Calc'!AL:AL,MATCH(FeeCalc!F348,'CHIRP Payment Calc'!C:C,0))</f>
        <v>4.59</v>
      </c>
      <c r="P348" s="164">
        <f t="shared" si="55"/>
        <v>7907933.7823171876</v>
      </c>
      <c r="Q348" s="165">
        <f t="shared" si="59"/>
        <v>302595.8379474993</v>
      </c>
      <c r="R348" s="165">
        <f t="shared" si="60"/>
        <v>188169.78562559144</v>
      </c>
      <c r="S348" s="165">
        <f t="shared" si="61"/>
        <v>490765.62357309076</v>
      </c>
      <c r="T348" s="165">
        <f t="shared" si="62"/>
        <v>2675516.3842977937</v>
      </c>
      <c r="U348" s="165">
        <f t="shared" si="63"/>
        <v>963375.74012930086</v>
      </c>
      <c r="V348" s="165">
        <f t="shared" si="64"/>
        <v>2587019.9278326286</v>
      </c>
      <c r="W348" s="165">
        <f t="shared" si="65"/>
        <v>2172787.3536305563</v>
      </c>
      <c r="X348" s="166">
        <f t="shared" si="56"/>
        <v>3136163.0937598571</v>
      </c>
    </row>
    <row r="349" spans="4:24">
      <c r="D349" s="9" t="s">
        <v>1366</v>
      </c>
      <c r="E349" s="9" t="s">
        <v>2718</v>
      </c>
      <c r="F349" s="4" t="s">
        <v>95</v>
      </c>
      <c r="G349" s="9" t="s">
        <v>3493</v>
      </c>
      <c r="H349" s="164">
        <v>96205.205468299813</v>
      </c>
      <c r="I349" s="165">
        <v>0</v>
      </c>
      <c r="J349" s="165">
        <v>0</v>
      </c>
      <c r="K349" s="165">
        <v>0</v>
      </c>
      <c r="L349" s="177">
        <f t="shared" si="57"/>
        <v>96205.205468299813</v>
      </c>
      <c r="M349" s="166">
        <f t="shared" si="58"/>
        <v>0</v>
      </c>
      <c r="N349" s="189">
        <f>INDEX('CHIRP Payment Calc'!AM:AM,MATCH(F349,'CHIRP Payment Calc'!C:C,0))</f>
        <v>17.490000000000002</v>
      </c>
      <c r="O349" s="189">
        <f>INDEX('CHIRP Payment Calc'!AL:AL,MATCH(FeeCalc!F349,'CHIRP Payment Calc'!C:C,0))</f>
        <v>1.68</v>
      </c>
      <c r="P349" s="164">
        <f t="shared" si="55"/>
        <v>1682629.043640564</v>
      </c>
      <c r="Q349" s="165">
        <f t="shared" si="59"/>
        <v>102653.76128311132</v>
      </c>
      <c r="R349" s="165">
        <f t="shared" si="60"/>
        <v>0</v>
      </c>
      <c r="S349" s="165">
        <f t="shared" si="61"/>
        <v>102653.76128311132</v>
      </c>
      <c r="T349" s="165">
        <f t="shared" si="62"/>
        <v>1785282.804923675</v>
      </c>
      <c r="U349" s="165">
        <f t="shared" si="63"/>
        <v>0</v>
      </c>
      <c r="V349" s="165">
        <f t="shared" si="64"/>
        <v>0</v>
      </c>
      <c r="W349" s="165">
        <f t="shared" si="65"/>
        <v>0</v>
      </c>
      <c r="X349" s="166">
        <f t="shared" si="56"/>
        <v>0</v>
      </c>
    </row>
    <row r="350" spans="4:24">
      <c r="D350" s="9" t="s">
        <v>1366</v>
      </c>
      <c r="E350" s="9" t="s">
        <v>2718</v>
      </c>
      <c r="F350" s="4" t="s">
        <v>8</v>
      </c>
      <c r="G350" s="9" t="s">
        <v>3477</v>
      </c>
      <c r="H350" s="164">
        <v>5783.7110077451416</v>
      </c>
      <c r="I350" s="165">
        <v>36522.986359150113</v>
      </c>
      <c r="J350" s="165">
        <v>40111.099642991539</v>
      </c>
      <c r="K350" s="165">
        <v>75068.449149280335</v>
      </c>
      <c r="L350" s="177">
        <f t="shared" si="57"/>
        <v>45894.810650736683</v>
      </c>
      <c r="M350" s="166">
        <f t="shared" si="58"/>
        <v>111591.43550843044</v>
      </c>
      <c r="N350" s="189">
        <f>INDEX('CHIRP Payment Calc'!AM:AM,MATCH(F350,'CHIRP Payment Calc'!C:C,0))</f>
        <v>4.5999999999999996</v>
      </c>
      <c r="O350" s="189">
        <f>INDEX('CHIRP Payment Calc'!AL:AL,MATCH(FeeCalc!F350,'CHIRP Payment Calc'!C:C,0))</f>
        <v>4.05</v>
      </c>
      <c r="P350" s="164">
        <f t="shared" si="55"/>
        <v>663061.44280253199</v>
      </c>
      <c r="Q350" s="165">
        <f t="shared" si="59"/>
        <v>10647.301867305754</v>
      </c>
      <c r="R350" s="165">
        <f t="shared" si="60"/>
        <v>31183.294302915732</v>
      </c>
      <c r="S350" s="165">
        <f t="shared" si="61"/>
        <v>41830.596170221484</v>
      </c>
      <c r="T350" s="165">
        <f t="shared" si="62"/>
        <v>28228.191655838356</v>
      </c>
      <c r="U350" s="165">
        <f t="shared" si="63"/>
        <v>196288.35995506498</v>
      </c>
      <c r="V350" s="165">
        <f t="shared" si="64"/>
        <v>156942.275601653</v>
      </c>
      <c r="W350" s="165">
        <f t="shared" si="65"/>
        <v>323433.21176019718</v>
      </c>
      <c r="X350" s="166">
        <f t="shared" si="56"/>
        <v>519721.57171526214</v>
      </c>
    </row>
    <row r="351" spans="4:24">
      <c r="D351" s="9" t="s">
        <v>1366</v>
      </c>
      <c r="E351" s="9" t="s">
        <v>2718</v>
      </c>
      <c r="F351" s="4" t="s">
        <v>1169</v>
      </c>
      <c r="G351" s="9" t="s">
        <v>2961</v>
      </c>
      <c r="H351" s="164">
        <v>695828.38041263318</v>
      </c>
      <c r="I351" s="165">
        <v>733545.61910447443</v>
      </c>
      <c r="J351" s="165">
        <v>297021.80592317093</v>
      </c>
      <c r="K351" s="165">
        <v>854059.61190114857</v>
      </c>
      <c r="L351" s="177">
        <f t="shared" si="57"/>
        <v>992850.18633580417</v>
      </c>
      <c r="M351" s="166">
        <f t="shared" si="58"/>
        <v>1587605.231005623</v>
      </c>
      <c r="N351" s="189">
        <f>INDEX('CHIRP Payment Calc'!AM:AM,MATCH(F351,'CHIRP Payment Calc'!C:C,0))</f>
        <v>2.54</v>
      </c>
      <c r="O351" s="189">
        <f>INDEX('CHIRP Payment Calc'!AL:AL,MATCH(FeeCalc!F351,'CHIRP Payment Calc'!C:C,0))</f>
        <v>3.6899999999999995</v>
      </c>
      <c r="P351" s="164">
        <f t="shared" si="55"/>
        <v>8380102.7757036909</v>
      </c>
      <c r="Q351" s="165">
        <f t="shared" si="59"/>
        <v>272961.03627878719</v>
      </c>
      <c r="R351" s="165">
        <f t="shared" si="60"/>
        <v>249313.74606128252</v>
      </c>
      <c r="S351" s="165">
        <f t="shared" si="61"/>
        <v>522274.78234006971</v>
      </c>
      <c r="T351" s="165">
        <f t="shared" si="62"/>
        <v>1875229.7997327198</v>
      </c>
      <c r="U351" s="165">
        <f t="shared" si="63"/>
        <v>802590.83728175983</v>
      </c>
      <c r="V351" s="165">
        <f t="shared" si="64"/>
        <v>2871918.6572896661</v>
      </c>
      <c r="W351" s="165">
        <f t="shared" si="65"/>
        <v>3352638.2637396152</v>
      </c>
      <c r="X351" s="166">
        <f t="shared" si="56"/>
        <v>4155229.101021375</v>
      </c>
    </row>
    <row r="352" spans="4:24">
      <c r="D352" s="9" t="s">
        <v>1366</v>
      </c>
      <c r="E352" s="9" t="s">
        <v>2718</v>
      </c>
      <c r="F352" s="4" t="s">
        <v>1105</v>
      </c>
      <c r="G352" s="9" t="s">
        <v>3452</v>
      </c>
      <c r="H352" s="164">
        <v>1658870.9291581998</v>
      </c>
      <c r="I352" s="165">
        <v>5109297.8583694566</v>
      </c>
      <c r="J352" s="165">
        <v>473430.79543961445</v>
      </c>
      <c r="K352" s="165">
        <v>1338031.2400782756</v>
      </c>
      <c r="L352" s="177">
        <f t="shared" si="57"/>
        <v>2132301.7245978145</v>
      </c>
      <c r="M352" s="166">
        <f t="shared" si="58"/>
        <v>6447329.0984477326</v>
      </c>
      <c r="N352" s="189">
        <f>INDEX('CHIRP Payment Calc'!AM:AM,MATCH(F352,'CHIRP Payment Calc'!C:C,0))</f>
        <v>3.3099999999999996</v>
      </c>
      <c r="O352" s="189">
        <f>INDEX('CHIRP Payment Calc'!AL:AL,MATCH(FeeCalc!F352,'CHIRP Payment Calc'!C:C,0))</f>
        <v>3.54</v>
      </c>
      <c r="P352" s="164">
        <f t="shared" si="55"/>
        <v>29881463.71692374</v>
      </c>
      <c r="Q352" s="165">
        <f t="shared" si="59"/>
        <v>1438432.0304118167</v>
      </c>
      <c r="R352" s="165">
        <f t="shared" si="60"/>
        <v>402362.9695392907</v>
      </c>
      <c r="S352" s="165">
        <f t="shared" si="61"/>
        <v>1840794.9999511074</v>
      </c>
      <c r="T352" s="165">
        <f t="shared" si="62"/>
        <v>5825849.0986882132</v>
      </c>
      <c r="U352" s="165">
        <f t="shared" si="63"/>
        <v>1667080.7796863017</v>
      </c>
      <c r="V352" s="165">
        <f t="shared" si="64"/>
        <v>19190360.12586512</v>
      </c>
      <c r="W352" s="165">
        <f t="shared" si="65"/>
        <v>5038968.7126352089</v>
      </c>
      <c r="X352" s="166">
        <f t="shared" si="56"/>
        <v>6706049.4923215108</v>
      </c>
    </row>
    <row r="353" spans="4:24">
      <c r="D353" s="9" t="s">
        <v>1366</v>
      </c>
      <c r="E353" s="9" t="s">
        <v>2718</v>
      </c>
      <c r="F353" s="4" t="s">
        <v>1096</v>
      </c>
      <c r="G353" s="9" t="s">
        <v>3451</v>
      </c>
      <c r="H353" s="164">
        <v>499205.25630077452</v>
      </c>
      <c r="I353" s="165">
        <v>63097.968642511805</v>
      </c>
      <c r="J353" s="165">
        <v>246889.77878605993</v>
      </c>
      <c r="K353" s="165">
        <v>386258.95275805576</v>
      </c>
      <c r="L353" s="177">
        <f t="shared" si="57"/>
        <v>746095.03508683445</v>
      </c>
      <c r="M353" s="166">
        <f t="shared" si="58"/>
        <v>449356.92140056757</v>
      </c>
      <c r="N353" s="189">
        <f>INDEX('CHIRP Payment Calc'!AM:AM,MATCH(F353,'CHIRP Payment Calc'!C:C,0))</f>
        <v>2.99</v>
      </c>
      <c r="O353" s="189">
        <f>INDEX('CHIRP Payment Calc'!AL:AL,MATCH(FeeCalc!F353,'CHIRP Payment Calc'!C:C,0))</f>
        <v>2.4299999999999997</v>
      </c>
      <c r="P353" s="164">
        <f t="shared" si="55"/>
        <v>3322761.4739130139</v>
      </c>
      <c r="Q353" s="165">
        <f t="shared" si="59"/>
        <v>100416.15634810145</v>
      </c>
      <c r="R353" s="165">
        <f t="shared" si="60"/>
        <v>107030.40598547201</v>
      </c>
      <c r="S353" s="165">
        <f t="shared" si="61"/>
        <v>207446.56233357347</v>
      </c>
      <c r="T353" s="165">
        <f t="shared" si="62"/>
        <v>1583685.6406783191</v>
      </c>
      <c r="U353" s="165">
        <f t="shared" si="63"/>
        <v>785319.61550033966</v>
      </c>
      <c r="V353" s="165">
        <f t="shared" si="64"/>
        <v>162682.29581040176</v>
      </c>
      <c r="W353" s="165">
        <f t="shared" si="65"/>
        <v>998520.48425752704</v>
      </c>
      <c r="X353" s="166">
        <f t="shared" si="56"/>
        <v>1783840.0997578667</v>
      </c>
    </row>
    <row r="354" spans="4:24">
      <c r="D354" s="9" t="s">
        <v>1366</v>
      </c>
      <c r="E354" s="9" t="s">
        <v>2718</v>
      </c>
      <c r="F354" s="4" t="s">
        <v>636</v>
      </c>
      <c r="G354" s="9" t="s">
        <v>2964</v>
      </c>
      <c r="H354" s="164">
        <v>1106295.4995841926</v>
      </c>
      <c r="I354" s="165">
        <v>446557.27621920448</v>
      </c>
      <c r="J354" s="165">
        <v>207195.98113460571</v>
      </c>
      <c r="K354" s="165">
        <v>1286071.190824887</v>
      </c>
      <c r="L354" s="177">
        <f t="shared" si="57"/>
        <v>1313491.4807187985</v>
      </c>
      <c r="M354" s="166">
        <f t="shared" si="58"/>
        <v>1732628.4670440916</v>
      </c>
      <c r="N354" s="189">
        <f>INDEX('CHIRP Payment Calc'!AM:AM,MATCH(F354,'CHIRP Payment Calc'!C:C,0))</f>
        <v>2.1399999999999997</v>
      </c>
      <c r="O354" s="189">
        <f>INDEX('CHIRP Payment Calc'!AL:AL,MATCH(FeeCalc!F354,'CHIRP Payment Calc'!C:C,0))</f>
        <v>3.5999999999999996</v>
      </c>
      <c r="P354" s="164">
        <f t="shared" si="55"/>
        <v>9048334.2500969581</v>
      </c>
      <c r="Q354" s="165">
        <f t="shared" si="59"/>
        <v>242511.42429836624</v>
      </c>
      <c r="R354" s="165">
        <f t="shared" si="60"/>
        <v>323824.8310594245</v>
      </c>
      <c r="S354" s="165">
        <f t="shared" si="61"/>
        <v>566336.25535779074</v>
      </c>
      <c r="T354" s="165">
        <f t="shared" si="62"/>
        <v>2511907.0229285639</v>
      </c>
      <c r="U354" s="165">
        <f t="shared" si="63"/>
        <v>471701.4889660172</v>
      </c>
      <c r="V354" s="165">
        <f t="shared" si="64"/>
        <v>1705682.9648691099</v>
      </c>
      <c r="W354" s="165">
        <f t="shared" si="65"/>
        <v>4925379.0286910571</v>
      </c>
      <c r="X354" s="166">
        <f t="shared" si="56"/>
        <v>5397080.5176570741</v>
      </c>
    </row>
    <row r="355" spans="4:24">
      <c r="D355" s="9" t="s">
        <v>1366</v>
      </c>
      <c r="E355" s="9" t="s">
        <v>2718</v>
      </c>
      <c r="F355" s="4" t="s">
        <v>3394</v>
      </c>
      <c r="G355" s="9" t="s">
        <v>3386</v>
      </c>
      <c r="H355" s="164">
        <v>2462.5491597028367</v>
      </c>
      <c r="I355" s="165">
        <v>0</v>
      </c>
      <c r="J355" s="165">
        <v>55.052464261087351</v>
      </c>
      <c r="K355" s="165">
        <v>0</v>
      </c>
      <c r="L355" s="177">
        <f t="shared" si="57"/>
        <v>2517.6016239639239</v>
      </c>
      <c r="M355" s="166">
        <f t="shared" si="58"/>
        <v>0</v>
      </c>
      <c r="N355" s="189">
        <f>INDEX('CHIRP Payment Calc'!AM:AM,MATCH(F355,'CHIRP Payment Calc'!C:C,0))</f>
        <v>1.42</v>
      </c>
      <c r="O355" s="189">
        <f>INDEX('CHIRP Payment Calc'!AL:AL,MATCH(FeeCalc!F355,'CHIRP Payment Calc'!C:C,0))</f>
        <v>1.68</v>
      </c>
      <c r="P355" s="164">
        <f t="shared" si="55"/>
        <v>3574.9943060287719</v>
      </c>
      <c r="Q355" s="165">
        <f t="shared" si="59"/>
        <v>213.3338343657683</v>
      </c>
      <c r="R355" s="165">
        <f t="shared" si="60"/>
        <v>4.9898616543028114</v>
      </c>
      <c r="S355" s="165">
        <f t="shared" si="61"/>
        <v>218.32369602007111</v>
      </c>
      <c r="T355" s="165">
        <f t="shared" si="62"/>
        <v>3710.1536411437964</v>
      </c>
      <c r="U355" s="165">
        <f t="shared" si="63"/>
        <v>83.164360905046848</v>
      </c>
      <c r="V355" s="165">
        <f t="shared" si="64"/>
        <v>0</v>
      </c>
      <c r="W355" s="165">
        <f t="shared" si="65"/>
        <v>0</v>
      </c>
      <c r="X355" s="166">
        <f t="shared" si="56"/>
        <v>83.164360905046848</v>
      </c>
    </row>
    <row r="356" spans="4:24">
      <c r="D356" s="9" t="s">
        <v>1366</v>
      </c>
      <c r="E356" s="9" t="s">
        <v>2718</v>
      </c>
      <c r="F356" s="4" t="s">
        <v>405</v>
      </c>
      <c r="G356" s="9" t="s">
        <v>3472</v>
      </c>
      <c r="H356" s="164">
        <v>148667.94987663074</v>
      </c>
      <c r="I356" s="165">
        <v>0</v>
      </c>
      <c r="J356" s="165">
        <v>9368.8705712460724</v>
      </c>
      <c r="K356" s="165">
        <v>0</v>
      </c>
      <c r="L356" s="177">
        <f t="shared" si="57"/>
        <v>158036.82044787682</v>
      </c>
      <c r="M356" s="166">
        <f t="shared" si="58"/>
        <v>0</v>
      </c>
      <c r="N356" s="189">
        <f>INDEX('CHIRP Payment Calc'!AM:AM,MATCH(F356,'CHIRP Payment Calc'!C:C,0))</f>
        <v>1.42</v>
      </c>
      <c r="O356" s="189">
        <f>INDEX('CHIRP Payment Calc'!AL:AL,MATCH(FeeCalc!F356,'CHIRP Payment Calc'!C:C,0))</f>
        <v>1.68</v>
      </c>
      <c r="P356" s="164">
        <f t="shared" si="55"/>
        <v>224412.28503598506</v>
      </c>
      <c r="Q356" s="165">
        <f t="shared" si="59"/>
        <v>12879.29772671289</v>
      </c>
      <c r="R356" s="165">
        <f t="shared" si="60"/>
        <v>849.17848156400566</v>
      </c>
      <c r="S356" s="165">
        <f t="shared" si="61"/>
        <v>13728.476208276896</v>
      </c>
      <c r="T356" s="165">
        <f t="shared" si="62"/>
        <v>223987.78655152852</v>
      </c>
      <c r="U356" s="165">
        <f t="shared" si="63"/>
        <v>14152.974692733427</v>
      </c>
      <c r="V356" s="165">
        <f t="shared" si="64"/>
        <v>0</v>
      </c>
      <c r="W356" s="165">
        <f t="shared" si="65"/>
        <v>0</v>
      </c>
      <c r="X356" s="166">
        <f t="shared" si="56"/>
        <v>14152.974692733427</v>
      </c>
    </row>
    <row r="357" spans="4:24">
      <c r="D357" s="9" t="s">
        <v>1366</v>
      </c>
      <c r="E357" s="9" t="s">
        <v>2718</v>
      </c>
      <c r="F357" s="4" t="s">
        <v>639</v>
      </c>
      <c r="G357" s="9" t="s">
        <v>2963</v>
      </c>
      <c r="H357" s="164">
        <v>988463.88258406287</v>
      </c>
      <c r="I357" s="165">
        <v>1032170.8109253646</v>
      </c>
      <c r="J357" s="165">
        <v>1256792.2829686091</v>
      </c>
      <c r="K357" s="165">
        <v>3570578.6802666988</v>
      </c>
      <c r="L357" s="177">
        <f t="shared" si="57"/>
        <v>2245256.165552672</v>
      </c>
      <c r="M357" s="166">
        <f t="shared" si="58"/>
        <v>4602749.4911920633</v>
      </c>
      <c r="N357" s="189">
        <f>INDEX('CHIRP Payment Calc'!AM:AM,MATCH(F357,'CHIRP Payment Calc'!C:C,0))</f>
        <v>2.9</v>
      </c>
      <c r="O357" s="189">
        <f>INDEX('CHIRP Payment Calc'!AL:AL,MATCH(FeeCalc!F357,'CHIRP Payment Calc'!C:C,0))</f>
        <v>3.5599999999999996</v>
      </c>
      <c r="P357" s="164">
        <f t="shared" si="55"/>
        <v>22897031.068746492</v>
      </c>
      <c r="Q357" s="165">
        <f t="shared" si="59"/>
        <v>399057.52511120914</v>
      </c>
      <c r="R357" s="165">
        <f t="shared" si="60"/>
        <v>1043997.3014271329</v>
      </c>
      <c r="S357" s="165">
        <f t="shared" si="61"/>
        <v>1443054.8265383421</v>
      </c>
      <c r="T357" s="165">
        <f t="shared" si="62"/>
        <v>3041427.3310278854</v>
      </c>
      <c r="U357" s="165">
        <f t="shared" si="63"/>
        <v>3877337.8942648582</v>
      </c>
      <c r="V357" s="165">
        <f t="shared" si="64"/>
        <v>3898703.5404714029</v>
      </c>
      <c r="W357" s="165">
        <f t="shared" si="65"/>
        <v>13522617.129520688</v>
      </c>
      <c r="X357" s="166">
        <f t="shared" si="56"/>
        <v>17399955.023785546</v>
      </c>
    </row>
    <row r="358" spans="4:24">
      <c r="D358" s="9" t="s">
        <v>1366</v>
      </c>
      <c r="E358" s="9" t="s">
        <v>2718</v>
      </c>
      <c r="F358" s="4" t="s">
        <v>510</v>
      </c>
      <c r="G358" s="9" t="s">
        <v>2866</v>
      </c>
      <c r="H358" s="164">
        <v>2106146.853413363</v>
      </c>
      <c r="I358" s="165">
        <v>13919088.777014304</v>
      </c>
      <c r="J358" s="165">
        <v>355104.58836454136</v>
      </c>
      <c r="K358" s="165">
        <v>1736866.6544644712</v>
      </c>
      <c r="L358" s="177">
        <f t="shared" si="57"/>
        <v>2461251.4417779045</v>
      </c>
      <c r="M358" s="166">
        <f t="shared" si="58"/>
        <v>15655955.431478776</v>
      </c>
      <c r="N358" s="189">
        <f>INDEX('CHIRP Payment Calc'!AM:AM,MATCH(F358,'CHIRP Payment Calc'!C:C,0))</f>
        <v>2.25</v>
      </c>
      <c r="O358" s="189">
        <f>INDEX('CHIRP Payment Calc'!AL:AL,MATCH(FeeCalc!F358,'CHIRP Payment Calc'!C:C,0))</f>
        <v>2.6799999999999997</v>
      </c>
      <c r="P358" s="164">
        <f t="shared" si="55"/>
        <v>47495776.300363399</v>
      </c>
      <c r="Q358" s="165">
        <f t="shared" si="59"/>
        <v>2564895.8405286558</v>
      </c>
      <c r="R358" s="165">
        <f t="shared" si="60"/>
        <v>348114.12496500008</v>
      </c>
      <c r="S358" s="165">
        <f t="shared" si="61"/>
        <v>2913009.9654936558</v>
      </c>
      <c r="T358" s="165">
        <f t="shared" si="62"/>
        <v>5027936.7853369405</v>
      </c>
      <c r="U358" s="165">
        <f t="shared" si="63"/>
        <v>849984.3870427853</v>
      </c>
      <c r="V358" s="165">
        <f t="shared" si="64"/>
        <v>39578947.397770114</v>
      </c>
      <c r="W358" s="165">
        <f t="shared" si="65"/>
        <v>4951917.6957072159</v>
      </c>
      <c r="X358" s="166">
        <f t="shared" si="56"/>
        <v>5801902.082750001</v>
      </c>
    </row>
    <row r="359" spans="4:24">
      <c r="D359" s="9" t="s">
        <v>1366</v>
      </c>
      <c r="E359" s="9" t="s">
        <v>2718</v>
      </c>
      <c r="F359" s="4" t="s">
        <v>121</v>
      </c>
      <c r="G359" s="9" t="s">
        <v>3444</v>
      </c>
      <c r="H359" s="164">
        <v>269999.68403719523</v>
      </c>
      <c r="I359" s="165">
        <v>2729.4305831822121</v>
      </c>
      <c r="J359" s="165">
        <v>0</v>
      </c>
      <c r="K359" s="165">
        <v>0</v>
      </c>
      <c r="L359" s="177">
        <f t="shared" si="57"/>
        <v>269999.68403719523</v>
      </c>
      <c r="M359" s="166">
        <f t="shared" si="58"/>
        <v>2729.4305831822121</v>
      </c>
      <c r="N359" s="189">
        <f>INDEX('CHIRP Payment Calc'!AM:AM,MATCH(F359,'CHIRP Payment Calc'!C:C,0))</f>
        <v>6.77</v>
      </c>
      <c r="O359" s="189">
        <f>INDEX('CHIRP Payment Calc'!AL:AL,MATCH(FeeCalc!F359,'CHIRP Payment Calc'!C:C,0))</f>
        <v>15.129999999999999</v>
      </c>
      <c r="P359" s="164">
        <f t="shared" si="55"/>
        <v>1869194.1456553584</v>
      </c>
      <c r="Q359" s="165">
        <f t="shared" si="59"/>
        <v>114035.71710894759</v>
      </c>
      <c r="R359" s="165">
        <f t="shared" si="60"/>
        <v>0</v>
      </c>
      <c r="S359" s="165">
        <f t="shared" si="61"/>
        <v>114035.71710894759</v>
      </c>
      <c r="T359" s="165">
        <f t="shared" si="62"/>
        <v>1939414.1760549725</v>
      </c>
      <c r="U359" s="165">
        <f t="shared" si="63"/>
        <v>0</v>
      </c>
      <c r="V359" s="165">
        <f t="shared" si="64"/>
        <v>43815.686709333546</v>
      </c>
      <c r="W359" s="165">
        <f t="shared" si="65"/>
        <v>0</v>
      </c>
      <c r="X359" s="166">
        <f t="shared" si="56"/>
        <v>0</v>
      </c>
    </row>
    <row r="360" spans="4:24">
      <c r="D360" s="9" t="s">
        <v>1366</v>
      </c>
      <c r="E360" s="9" t="s">
        <v>2718</v>
      </c>
      <c r="F360" s="4" t="s">
        <v>265</v>
      </c>
      <c r="G360" s="9" t="s">
        <v>3349</v>
      </c>
      <c r="H360" s="164">
        <v>774063.74288047745</v>
      </c>
      <c r="I360" s="165">
        <v>2084605.5868284155</v>
      </c>
      <c r="J360" s="165">
        <v>312688.27908762178</v>
      </c>
      <c r="K360" s="165">
        <v>859773.83431436541</v>
      </c>
      <c r="L360" s="177">
        <f t="shared" si="57"/>
        <v>1086752.0219680993</v>
      </c>
      <c r="M360" s="166">
        <f t="shared" si="58"/>
        <v>2944379.4211427812</v>
      </c>
      <c r="N360" s="189">
        <f>INDEX('CHIRP Payment Calc'!AM:AM,MATCH(F360,'CHIRP Payment Calc'!C:C,0))</f>
        <v>2.58</v>
      </c>
      <c r="O360" s="189">
        <f>INDEX('CHIRP Payment Calc'!AL:AL,MATCH(FeeCalc!F360,'CHIRP Payment Calc'!C:C,0))</f>
        <v>3.0599999999999996</v>
      </c>
      <c r="P360" s="164">
        <f t="shared" si="55"/>
        <v>11813621.245374605</v>
      </c>
      <c r="Q360" s="165">
        <f t="shared" si="59"/>
        <v>511001.28303318674</v>
      </c>
      <c r="R360" s="165">
        <f t="shared" si="60"/>
        <v>219424.06551370356</v>
      </c>
      <c r="S360" s="165">
        <f t="shared" si="61"/>
        <v>730425.34854689031</v>
      </c>
      <c r="T360" s="165">
        <f t="shared" si="62"/>
        <v>2118922.5004049144</v>
      </c>
      <c r="U360" s="165">
        <f t="shared" si="63"/>
        <v>858229.5319638981</v>
      </c>
      <c r="V360" s="165">
        <f t="shared" si="64"/>
        <v>6768056.334954855</v>
      </c>
      <c r="W360" s="165">
        <f t="shared" si="65"/>
        <v>2798838.2265978274</v>
      </c>
      <c r="X360" s="166">
        <f t="shared" si="56"/>
        <v>3657067.7585617257</v>
      </c>
    </row>
    <row r="361" spans="4:24">
      <c r="D361" s="9" t="s">
        <v>1366</v>
      </c>
      <c r="E361" s="9" t="s">
        <v>2718</v>
      </c>
      <c r="F361" s="4" t="s">
        <v>1364</v>
      </c>
      <c r="G361" s="9" t="s">
        <v>3340</v>
      </c>
      <c r="H361" s="164">
        <v>20772.750626063564</v>
      </c>
      <c r="I361" s="165">
        <v>0</v>
      </c>
      <c r="J361" s="165">
        <v>51880.868275552595</v>
      </c>
      <c r="K361" s="165">
        <v>0</v>
      </c>
      <c r="L361" s="177">
        <f t="shared" si="57"/>
        <v>72653.618901616166</v>
      </c>
      <c r="M361" s="166">
        <f t="shared" si="58"/>
        <v>0</v>
      </c>
      <c r="N361" s="189">
        <f>INDEX('CHIRP Payment Calc'!AM:AM,MATCH(F361,'CHIRP Payment Calc'!C:C,0))</f>
        <v>1.42</v>
      </c>
      <c r="O361" s="189">
        <f>INDEX('CHIRP Payment Calc'!AL:AL,MATCH(FeeCalc!F361,'CHIRP Payment Calc'!C:C,0))</f>
        <v>1.68</v>
      </c>
      <c r="P361" s="164">
        <f t="shared" si="55"/>
        <v>103168.13884029495</v>
      </c>
      <c r="Q361" s="165">
        <f t="shared" si="59"/>
        <v>1799.5703858016868</v>
      </c>
      <c r="R361" s="165">
        <f t="shared" si="60"/>
        <v>4702.3935926351933</v>
      </c>
      <c r="S361" s="165">
        <f t="shared" si="61"/>
        <v>6501.9639784368801</v>
      </c>
      <c r="T361" s="165">
        <f t="shared" si="62"/>
        <v>31296.876274811944</v>
      </c>
      <c r="U361" s="165">
        <f t="shared" si="63"/>
        <v>78373.226543919882</v>
      </c>
      <c r="V361" s="165">
        <f t="shared" si="64"/>
        <v>0</v>
      </c>
      <c r="W361" s="165">
        <f t="shared" si="65"/>
        <v>0</v>
      </c>
      <c r="X361" s="166">
        <f t="shared" si="56"/>
        <v>78373.226543919882</v>
      </c>
    </row>
    <row r="362" spans="4:24">
      <c r="D362" s="9" t="s">
        <v>1366</v>
      </c>
      <c r="E362" s="9" t="s">
        <v>2718</v>
      </c>
      <c r="F362" s="4" t="s">
        <v>930</v>
      </c>
      <c r="G362" s="9" t="s">
        <v>2958</v>
      </c>
      <c r="H362" s="164">
        <v>1138407.8006595564</v>
      </c>
      <c r="I362" s="165">
        <v>1947066.1541794976</v>
      </c>
      <c r="J362" s="165">
        <v>157850.5619785442</v>
      </c>
      <c r="K362" s="165">
        <v>541711.53031506448</v>
      </c>
      <c r="L362" s="177">
        <f t="shared" si="57"/>
        <v>1296258.3626381005</v>
      </c>
      <c r="M362" s="166">
        <f t="shared" si="58"/>
        <v>2488777.684494562</v>
      </c>
      <c r="N362" s="189">
        <f>INDEX('CHIRP Payment Calc'!AM:AM,MATCH(F362,'CHIRP Payment Calc'!C:C,0))</f>
        <v>2.35</v>
      </c>
      <c r="O362" s="189">
        <f>INDEX('CHIRP Payment Calc'!AL:AL,MATCH(FeeCalc!F362,'CHIRP Payment Calc'!C:C,0))</f>
        <v>2.2999999999999998</v>
      </c>
      <c r="P362" s="164">
        <f t="shared" si="55"/>
        <v>8770395.826537028</v>
      </c>
      <c r="Q362" s="165">
        <f t="shared" si="59"/>
        <v>436421.0641425582</v>
      </c>
      <c r="R362" s="165">
        <f t="shared" si="60"/>
        <v>103205.44725792941</v>
      </c>
      <c r="S362" s="165">
        <f t="shared" si="61"/>
        <v>539626.51140048762</v>
      </c>
      <c r="T362" s="165">
        <f t="shared" si="62"/>
        <v>2838470.3783023423</v>
      </c>
      <c r="U362" s="165">
        <f t="shared" si="63"/>
        <v>394626.4049463605</v>
      </c>
      <c r="V362" s="165">
        <f t="shared" si="64"/>
        <v>4751461.1720030177</v>
      </c>
      <c r="W362" s="165">
        <f t="shared" si="65"/>
        <v>1325464.3826857961</v>
      </c>
      <c r="X362" s="166">
        <f t="shared" si="56"/>
        <v>1720090.7876321566</v>
      </c>
    </row>
    <row r="363" spans="4:24">
      <c r="D363" s="9" t="s">
        <v>1366</v>
      </c>
      <c r="E363" s="9" t="s">
        <v>2718</v>
      </c>
      <c r="F363" s="4" t="s">
        <v>144</v>
      </c>
      <c r="G363" s="9" t="s">
        <v>3473</v>
      </c>
      <c r="H363" s="164">
        <v>356969.03589390055</v>
      </c>
      <c r="I363" s="165">
        <v>883124.61540508561</v>
      </c>
      <c r="J363" s="165">
        <v>72053.874719491301</v>
      </c>
      <c r="K363" s="165">
        <v>153306.29421422596</v>
      </c>
      <c r="L363" s="177">
        <f t="shared" si="57"/>
        <v>429022.91061339184</v>
      </c>
      <c r="M363" s="166">
        <f t="shared" si="58"/>
        <v>1036430.9096193116</v>
      </c>
      <c r="N363" s="189">
        <f>INDEX('CHIRP Payment Calc'!AM:AM,MATCH(F363,'CHIRP Payment Calc'!C:C,0))</f>
        <v>2.0699999999999998</v>
      </c>
      <c r="O363" s="189">
        <f>INDEX('CHIRP Payment Calc'!AL:AL,MATCH(FeeCalc!F363,'CHIRP Payment Calc'!C:C,0))</f>
        <v>3.7199999999999998</v>
      </c>
      <c r="P363" s="164">
        <f t="shared" si="55"/>
        <v>4743600.4087535599</v>
      </c>
      <c r="Q363" s="165">
        <f t="shared" si="59"/>
        <v>245505.14029964915</v>
      </c>
      <c r="R363" s="165">
        <f t="shared" si="60"/>
        <v>45922.400115719203</v>
      </c>
      <c r="S363" s="165">
        <f t="shared" si="61"/>
        <v>291427.54041536833</v>
      </c>
      <c r="T363" s="165">
        <f t="shared" si="62"/>
        <v>784006.2645096808</v>
      </c>
      <c r="U363" s="165">
        <f t="shared" si="63"/>
        <v>158671.8304993053</v>
      </c>
      <c r="V363" s="165">
        <f t="shared" si="64"/>
        <v>3485648.3493972607</v>
      </c>
      <c r="W363" s="165">
        <f t="shared" si="65"/>
        <v>606701.50476268143</v>
      </c>
      <c r="X363" s="166">
        <f t="shared" si="56"/>
        <v>765373.33526198671</v>
      </c>
    </row>
    <row r="364" spans="4:24">
      <c r="D364" s="9" t="s">
        <v>1366</v>
      </c>
      <c r="E364" s="9" t="s">
        <v>2718</v>
      </c>
      <c r="F364" s="4" t="s">
        <v>918</v>
      </c>
      <c r="G364" s="9" t="s">
        <v>3443</v>
      </c>
      <c r="H364" s="164">
        <v>13049671.003997505</v>
      </c>
      <c r="I364" s="165">
        <v>13634633.355810778</v>
      </c>
      <c r="J364" s="165">
        <v>14027752.396967366</v>
      </c>
      <c r="K364" s="165">
        <v>11921452.295777239</v>
      </c>
      <c r="L364" s="177">
        <f t="shared" si="57"/>
        <v>27077423.400964871</v>
      </c>
      <c r="M364" s="166">
        <f t="shared" si="58"/>
        <v>25556085.651588015</v>
      </c>
      <c r="N364" s="189">
        <f>INDEX('CHIRP Payment Calc'!AM:AM,MATCH(F364,'CHIRP Payment Calc'!C:C,0))</f>
        <v>1.42</v>
      </c>
      <c r="O364" s="189">
        <f>INDEX('CHIRP Payment Calc'!AL:AL,MATCH(FeeCalc!F364,'CHIRP Payment Calc'!C:C,0))</f>
        <v>1.68</v>
      </c>
      <c r="P364" s="164">
        <f t="shared" si="55"/>
        <v>81384165.124037981</v>
      </c>
      <c r="Q364" s="165">
        <f t="shared" si="59"/>
        <v>2527969.4638172071</v>
      </c>
      <c r="R364" s="165">
        <f t="shared" si="60"/>
        <v>2549837.1230169842</v>
      </c>
      <c r="S364" s="165">
        <f t="shared" si="61"/>
        <v>5077806.5868341913</v>
      </c>
      <c r="T364" s="165">
        <f t="shared" si="62"/>
        <v>19661042.785863612</v>
      </c>
      <c r="U364" s="165">
        <f t="shared" si="63"/>
        <v>21190860.003929425</v>
      </c>
      <c r="V364" s="165">
        <f t="shared" si="64"/>
        <v>24303643.541392155</v>
      </c>
      <c r="W364" s="165">
        <f t="shared" si="65"/>
        <v>21306425.379686981</v>
      </c>
      <c r="X364" s="166">
        <f t="shared" si="56"/>
        <v>42497285.383616403</v>
      </c>
    </row>
    <row r="365" spans="4:24">
      <c r="D365" s="9" t="s">
        <v>1202</v>
      </c>
      <c r="E365" s="9" t="s">
        <v>1552</v>
      </c>
      <c r="F365" s="4" t="s">
        <v>393</v>
      </c>
      <c r="G365" s="9" t="s">
        <v>2992</v>
      </c>
      <c r="H365" s="164">
        <v>22495288.830365609</v>
      </c>
      <c r="I365" s="165">
        <v>60450125.36378704</v>
      </c>
      <c r="J365" s="165">
        <v>607661.36037097266</v>
      </c>
      <c r="K365" s="165">
        <v>256832.32996258533</v>
      </c>
      <c r="L365" s="177">
        <f t="shared" si="57"/>
        <v>23102950.190736581</v>
      </c>
      <c r="M365" s="166">
        <f t="shared" si="58"/>
        <v>60706957.693749629</v>
      </c>
      <c r="N365" s="189">
        <f>INDEX('CHIRP Payment Calc'!AM:AM,MATCH(F365,'CHIRP Payment Calc'!C:C,0))</f>
        <v>1.58</v>
      </c>
      <c r="O365" s="189">
        <f>INDEX('CHIRP Payment Calc'!AL:AL,MATCH(FeeCalc!F365,'CHIRP Payment Calc'!C:C,0))</f>
        <v>1.59</v>
      </c>
      <c r="P365" s="164">
        <f t="shared" si="55"/>
        <v>133026724.03442571</v>
      </c>
      <c r="Q365" s="165">
        <f t="shared" si="59"/>
        <v>8032201.274931509</v>
      </c>
      <c r="R365" s="165">
        <f t="shared" si="60"/>
        <v>87349.043874041337</v>
      </c>
      <c r="S365" s="165">
        <f t="shared" si="61"/>
        <v>8119550.3188055502</v>
      </c>
      <c r="T365" s="165">
        <f t="shared" si="62"/>
        <v>37710935.121461712</v>
      </c>
      <c r="U365" s="165">
        <f t="shared" si="63"/>
        <v>1021388.2440278053</v>
      </c>
      <c r="V365" s="165">
        <f t="shared" si="64"/>
        <v>101979521.83386886</v>
      </c>
      <c r="W365" s="165">
        <f t="shared" si="65"/>
        <v>434429.15387288376</v>
      </c>
      <c r="X365" s="166">
        <f t="shared" si="56"/>
        <v>1455817.3979006889</v>
      </c>
    </row>
    <row r="366" spans="4:24">
      <c r="D366" s="9" t="s">
        <v>1202</v>
      </c>
      <c r="E366" s="9" t="s">
        <v>3069</v>
      </c>
      <c r="F366" s="4" t="s">
        <v>1213</v>
      </c>
      <c r="G366" s="9" t="s">
        <v>3417</v>
      </c>
      <c r="H366" s="164">
        <v>0</v>
      </c>
      <c r="I366" s="165">
        <v>1149780.8060350846</v>
      </c>
      <c r="J366" s="165">
        <v>0</v>
      </c>
      <c r="K366" s="165">
        <v>0</v>
      </c>
      <c r="L366" s="177">
        <f t="shared" si="57"/>
        <v>0</v>
      </c>
      <c r="M366" s="166">
        <f t="shared" si="58"/>
        <v>1149780.8060350846</v>
      </c>
      <c r="N366" s="189">
        <f>INDEX('CHIRP Payment Calc'!AM:AM,MATCH(F366,'CHIRP Payment Calc'!C:C,0))</f>
        <v>0</v>
      </c>
      <c r="O366" s="189">
        <f>INDEX('CHIRP Payment Calc'!AL:AL,MATCH(FeeCalc!F366,'CHIRP Payment Calc'!C:C,0))</f>
        <v>0.63</v>
      </c>
      <c r="P366" s="164">
        <f t="shared" si="55"/>
        <v>724361.90780210332</v>
      </c>
      <c r="Q366" s="165">
        <f t="shared" si="59"/>
        <v>44191.84052904079</v>
      </c>
      <c r="R366" s="165">
        <f t="shared" si="60"/>
        <v>0</v>
      </c>
      <c r="S366" s="165">
        <f t="shared" si="61"/>
        <v>44191.84052904079</v>
      </c>
      <c r="T366" s="165">
        <f t="shared" si="62"/>
        <v>0</v>
      </c>
      <c r="U366" s="165">
        <f t="shared" si="63"/>
        <v>0</v>
      </c>
      <c r="V366" s="165">
        <f t="shared" si="64"/>
        <v>768553.7483311441</v>
      </c>
      <c r="W366" s="165">
        <f t="shared" si="65"/>
        <v>0</v>
      </c>
      <c r="X366" s="166">
        <f t="shared" si="56"/>
        <v>0</v>
      </c>
    </row>
    <row r="367" spans="4:24">
      <c r="D367" s="9" t="s">
        <v>1202</v>
      </c>
      <c r="E367" s="9" t="s">
        <v>3069</v>
      </c>
      <c r="F367" s="4" t="s">
        <v>1305</v>
      </c>
      <c r="G367" s="9" t="s">
        <v>3314</v>
      </c>
      <c r="H367" s="164">
        <v>0</v>
      </c>
      <c r="I367" s="165">
        <v>287656.94654993247</v>
      </c>
      <c r="J367" s="165">
        <v>0</v>
      </c>
      <c r="K367" s="165">
        <v>0</v>
      </c>
      <c r="L367" s="177">
        <f t="shared" si="57"/>
        <v>0</v>
      </c>
      <c r="M367" s="166">
        <f t="shared" si="58"/>
        <v>287656.94654993247</v>
      </c>
      <c r="N367" s="189">
        <f>INDEX('CHIRP Payment Calc'!AM:AM,MATCH(F367,'CHIRP Payment Calc'!C:C,0))</f>
        <v>0</v>
      </c>
      <c r="O367" s="189">
        <f>INDEX('CHIRP Payment Calc'!AL:AL,MATCH(FeeCalc!F367,'CHIRP Payment Calc'!C:C,0))</f>
        <v>0.63</v>
      </c>
      <c r="P367" s="164">
        <f t="shared" si="55"/>
        <v>181223.87632645745</v>
      </c>
      <c r="Q367" s="165">
        <f t="shared" si="59"/>
        <v>11056.098555725523</v>
      </c>
      <c r="R367" s="165">
        <f t="shared" si="60"/>
        <v>0</v>
      </c>
      <c r="S367" s="165">
        <f t="shared" si="61"/>
        <v>11056.098555725523</v>
      </c>
      <c r="T367" s="165">
        <f t="shared" si="62"/>
        <v>0</v>
      </c>
      <c r="U367" s="165">
        <f t="shared" si="63"/>
        <v>0</v>
      </c>
      <c r="V367" s="165">
        <f t="shared" si="64"/>
        <v>192279.97488218299</v>
      </c>
      <c r="W367" s="165">
        <f t="shared" si="65"/>
        <v>0</v>
      </c>
      <c r="X367" s="166">
        <f t="shared" si="56"/>
        <v>0</v>
      </c>
    </row>
    <row r="368" spans="4:24">
      <c r="D368" s="9" t="s">
        <v>1202</v>
      </c>
      <c r="E368" s="9" t="s">
        <v>3069</v>
      </c>
      <c r="F368" s="4" t="s">
        <v>1245</v>
      </c>
      <c r="G368" s="9" t="s">
        <v>3196</v>
      </c>
      <c r="H368" s="164">
        <v>0</v>
      </c>
      <c r="I368" s="165">
        <v>1050741.3786919031</v>
      </c>
      <c r="J368" s="165">
        <v>0</v>
      </c>
      <c r="K368" s="165">
        <v>0</v>
      </c>
      <c r="L368" s="177">
        <f t="shared" si="57"/>
        <v>0</v>
      </c>
      <c r="M368" s="166">
        <f t="shared" si="58"/>
        <v>1050741.3786919031</v>
      </c>
      <c r="N368" s="189">
        <f>INDEX('CHIRP Payment Calc'!AM:AM,MATCH(F368,'CHIRP Payment Calc'!C:C,0))</f>
        <v>0</v>
      </c>
      <c r="O368" s="189">
        <f>INDEX('CHIRP Payment Calc'!AL:AL,MATCH(FeeCalc!F368,'CHIRP Payment Calc'!C:C,0))</f>
        <v>0.63</v>
      </c>
      <c r="P368" s="164">
        <f t="shared" si="55"/>
        <v>661967.068575899</v>
      </c>
      <c r="Q368" s="165">
        <f t="shared" si="59"/>
        <v>40385.258825585348</v>
      </c>
      <c r="R368" s="165">
        <f t="shared" si="60"/>
        <v>0</v>
      </c>
      <c r="S368" s="165">
        <f t="shared" si="61"/>
        <v>40385.258825585348</v>
      </c>
      <c r="T368" s="165">
        <f t="shared" si="62"/>
        <v>0</v>
      </c>
      <c r="U368" s="165">
        <f t="shared" si="63"/>
        <v>0</v>
      </c>
      <c r="V368" s="165">
        <f t="shared" si="64"/>
        <v>702352.32740148425</v>
      </c>
      <c r="W368" s="165">
        <f t="shared" si="65"/>
        <v>0</v>
      </c>
      <c r="X368" s="166">
        <f t="shared" si="56"/>
        <v>0</v>
      </c>
    </row>
    <row r="369" spans="4:24">
      <c r="D369" s="9" t="s">
        <v>1202</v>
      </c>
      <c r="E369" s="9" t="s">
        <v>3069</v>
      </c>
      <c r="F369" s="4" t="s">
        <v>1311</v>
      </c>
      <c r="G369" s="9" t="s">
        <v>2989</v>
      </c>
      <c r="H369" s="164">
        <v>0</v>
      </c>
      <c r="I369" s="165">
        <v>43367.885513078276</v>
      </c>
      <c r="J369" s="165">
        <v>0</v>
      </c>
      <c r="K369" s="165">
        <v>0</v>
      </c>
      <c r="L369" s="177">
        <f t="shared" si="57"/>
        <v>0</v>
      </c>
      <c r="M369" s="166">
        <f t="shared" si="58"/>
        <v>43367.885513078276</v>
      </c>
      <c r="N369" s="189">
        <f>INDEX('CHIRP Payment Calc'!AM:AM,MATCH(F369,'CHIRP Payment Calc'!C:C,0))</f>
        <v>0</v>
      </c>
      <c r="O369" s="189">
        <f>INDEX('CHIRP Payment Calc'!AL:AL,MATCH(FeeCalc!F369,'CHIRP Payment Calc'!C:C,0))</f>
        <v>0.63</v>
      </c>
      <c r="P369" s="164">
        <f t="shared" si="55"/>
        <v>27321.767873239314</v>
      </c>
      <c r="Q369" s="165">
        <f t="shared" si="59"/>
        <v>1666.8452548660589</v>
      </c>
      <c r="R369" s="165">
        <f t="shared" si="60"/>
        <v>0</v>
      </c>
      <c r="S369" s="165">
        <f t="shared" si="61"/>
        <v>1666.8452548660589</v>
      </c>
      <c r="T369" s="165">
        <f t="shared" si="62"/>
        <v>0</v>
      </c>
      <c r="U369" s="165">
        <f t="shared" si="63"/>
        <v>0</v>
      </c>
      <c r="V369" s="165">
        <f t="shared" si="64"/>
        <v>28988.613128105371</v>
      </c>
      <c r="W369" s="165">
        <f t="shared" si="65"/>
        <v>0</v>
      </c>
      <c r="X369" s="166">
        <f t="shared" si="56"/>
        <v>0</v>
      </c>
    </row>
    <row r="370" spans="4:24">
      <c r="D370" s="9" t="s">
        <v>1202</v>
      </c>
      <c r="E370" s="9" t="s">
        <v>3069</v>
      </c>
      <c r="F370" s="4" t="s">
        <v>1344</v>
      </c>
      <c r="G370" s="9" t="s">
        <v>3338</v>
      </c>
      <c r="H370" s="164">
        <v>0</v>
      </c>
      <c r="I370" s="165">
        <v>737881.08162294968</v>
      </c>
      <c r="J370" s="165">
        <v>0</v>
      </c>
      <c r="K370" s="165">
        <v>0</v>
      </c>
      <c r="L370" s="177">
        <f t="shared" si="57"/>
        <v>0</v>
      </c>
      <c r="M370" s="166">
        <f t="shared" si="58"/>
        <v>737881.08162294968</v>
      </c>
      <c r="N370" s="189">
        <f>INDEX('CHIRP Payment Calc'!AM:AM,MATCH(F370,'CHIRP Payment Calc'!C:C,0))</f>
        <v>0</v>
      </c>
      <c r="O370" s="189">
        <f>INDEX('CHIRP Payment Calc'!AL:AL,MATCH(FeeCalc!F370,'CHIRP Payment Calc'!C:C,0))</f>
        <v>0.63</v>
      </c>
      <c r="P370" s="164">
        <f t="shared" si="55"/>
        <v>464865.08142245829</v>
      </c>
      <c r="Q370" s="165">
        <f t="shared" si="59"/>
        <v>28360.469158399315</v>
      </c>
      <c r="R370" s="165">
        <f t="shared" si="60"/>
        <v>0</v>
      </c>
      <c r="S370" s="165">
        <f t="shared" si="61"/>
        <v>28360.469158399315</v>
      </c>
      <c r="T370" s="165">
        <f t="shared" si="62"/>
        <v>0</v>
      </c>
      <c r="U370" s="165">
        <f t="shared" si="63"/>
        <v>0</v>
      </c>
      <c r="V370" s="165">
        <f t="shared" si="64"/>
        <v>493225.55058085761</v>
      </c>
      <c r="W370" s="165">
        <f t="shared" si="65"/>
        <v>0</v>
      </c>
      <c r="X370" s="166">
        <f t="shared" si="56"/>
        <v>0</v>
      </c>
    </row>
    <row r="371" spans="4:24">
      <c r="D371" s="9" t="s">
        <v>1202</v>
      </c>
      <c r="E371" s="9" t="s">
        <v>2768</v>
      </c>
      <c r="F371" s="4" t="s">
        <v>1026</v>
      </c>
      <c r="G371" s="9" t="s">
        <v>2988</v>
      </c>
      <c r="H371" s="164">
        <v>432.95465591376916</v>
      </c>
      <c r="I371" s="165">
        <v>6661166.9992944105</v>
      </c>
      <c r="J371" s="165">
        <v>0</v>
      </c>
      <c r="K371" s="165">
        <v>4300805.2113289032</v>
      </c>
      <c r="L371" s="177">
        <f t="shared" si="57"/>
        <v>432.95465591376916</v>
      </c>
      <c r="M371" s="166">
        <f t="shared" si="58"/>
        <v>10961972.210623313</v>
      </c>
      <c r="N371" s="189">
        <f>INDEX('CHIRP Payment Calc'!AM:AM,MATCH(F371,'CHIRP Payment Calc'!C:C,0))</f>
        <v>2161.44</v>
      </c>
      <c r="O371" s="189">
        <f>INDEX('CHIRP Payment Calc'!AL:AL,MATCH(FeeCalc!F371,'CHIRP Payment Calc'!C:C,0))</f>
        <v>0.03</v>
      </c>
      <c r="P371" s="164">
        <f t="shared" si="55"/>
        <v>1264664.6777969566</v>
      </c>
      <c r="Q371" s="165">
        <f t="shared" si="59"/>
        <v>69283.108736108916</v>
      </c>
      <c r="R371" s="165">
        <f t="shared" si="60"/>
        <v>8235.5844472255594</v>
      </c>
      <c r="S371" s="165">
        <f t="shared" si="61"/>
        <v>77518.693183334472</v>
      </c>
      <c r="T371" s="165">
        <f t="shared" si="62"/>
        <v>992897.09440663899</v>
      </c>
      <c r="U371" s="165">
        <f t="shared" si="63"/>
        <v>0</v>
      </c>
      <c r="V371" s="165">
        <f t="shared" si="64"/>
        <v>212026.53578655949</v>
      </c>
      <c r="W371" s="165">
        <f t="shared" si="65"/>
        <v>137259.74078709265</v>
      </c>
      <c r="X371" s="166">
        <f t="shared" si="56"/>
        <v>137259.74078709265</v>
      </c>
    </row>
    <row r="372" spans="4:24">
      <c r="D372" s="9" t="s">
        <v>1202</v>
      </c>
      <c r="E372" s="9" t="s">
        <v>2768</v>
      </c>
      <c r="F372" s="4" t="s">
        <v>324</v>
      </c>
      <c r="G372" s="9" t="s">
        <v>3442</v>
      </c>
      <c r="H372" s="164">
        <v>19030.773881878366</v>
      </c>
      <c r="I372" s="165">
        <v>0</v>
      </c>
      <c r="J372" s="165">
        <v>18752.902480816439</v>
      </c>
      <c r="K372" s="165">
        <v>0</v>
      </c>
      <c r="L372" s="177">
        <f t="shared" si="57"/>
        <v>37783.676362694809</v>
      </c>
      <c r="M372" s="166">
        <f t="shared" si="58"/>
        <v>0</v>
      </c>
      <c r="N372" s="189">
        <f>INDEX('CHIRP Payment Calc'!AM:AM,MATCH(F372,'CHIRP Payment Calc'!C:C,0))</f>
        <v>0.56000000000000005</v>
      </c>
      <c r="O372" s="189">
        <f>INDEX('CHIRP Payment Calc'!AL:AL,MATCH(FeeCalc!F372,'CHIRP Payment Calc'!C:C,0))</f>
        <v>0</v>
      </c>
      <c r="P372" s="164">
        <f t="shared" si="55"/>
        <v>21158.858763109096</v>
      </c>
      <c r="Q372" s="165">
        <f t="shared" si="59"/>
        <v>650.1760413755793</v>
      </c>
      <c r="R372" s="165">
        <f t="shared" si="60"/>
        <v>670.31651420790695</v>
      </c>
      <c r="S372" s="165">
        <f t="shared" si="61"/>
        <v>1320.4925555834861</v>
      </c>
      <c r="T372" s="165">
        <f t="shared" si="62"/>
        <v>11307.409415227465</v>
      </c>
      <c r="U372" s="165">
        <f t="shared" si="63"/>
        <v>11171.941903465115</v>
      </c>
      <c r="V372" s="165">
        <f t="shared" si="64"/>
        <v>0</v>
      </c>
      <c r="W372" s="165">
        <f t="shared" si="65"/>
        <v>0</v>
      </c>
      <c r="X372" s="166">
        <f t="shared" si="56"/>
        <v>11171.941903465115</v>
      </c>
    </row>
    <row r="373" spans="4:24">
      <c r="D373" s="9" t="s">
        <v>1202</v>
      </c>
      <c r="E373" s="9" t="s">
        <v>2768</v>
      </c>
      <c r="F373" s="4" t="s">
        <v>1020</v>
      </c>
      <c r="G373" s="9" t="s">
        <v>3142</v>
      </c>
      <c r="H373" s="164">
        <v>691.70090526932063</v>
      </c>
      <c r="I373" s="165">
        <v>1354846.1076010016</v>
      </c>
      <c r="J373" s="165">
        <v>0</v>
      </c>
      <c r="K373" s="165">
        <v>563350.17571483587</v>
      </c>
      <c r="L373" s="177">
        <f t="shared" si="57"/>
        <v>691.70090526932063</v>
      </c>
      <c r="M373" s="166">
        <f t="shared" si="58"/>
        <v>1918196.2833158374</v>
      </c>
      <c r="N373" s="189">
        <f>INDEX('CHIRP Payment Calc'!AM:AM,MATCH(F373,'CHIRP Payment Calc'!C:C,0))</f>
        <v>1213.8200000000002</v>
      </c>
      <c r="O373" s="189">
        <f>INDEX('CHIRP Payment Calc'!AL:AL,MATCH(FeeCalc!F373,'CHIRP Payment Calc'!C:C,0))</f>
        <v>0.25</v>
      </c>
      <c r="P373" s="164">
        <f t="shared" si="55"/>
        <v>1319149.4636629662</v>
      </c>
      <c r="Q373" s="165">
        <f t="shared" si="59"/>
        <v>71886.403591214636</v>
      </c>
      <c r="R373" s="165">
        <f t="shared" si="60"/>
        <v>8989.630463534615</v>
      </c>
      <c r="S373" s="165">
        <f t="shared" si="61"/>
        <v>80876.034054749252</v>
      </c>
      <c r="T373" s="165">
        <f t="shared" si="62"/>
        <v>890822.69796711614</v>
      </c>
      <c r="U373" s="165">
        <f t="shared" si="63"/>
        <v>0</v>
      </c>
      <c r="V373" s="165">
        <f t="shared" si="64"/>
        <v>359375.62535835587</v>
      </c>
      <c r="W373" s="165">
        <f t="shared" si="65"/>
        <v>149827.17439224359</v>
      </c>
      <c r="X373" s="166">
        <f t="shared" si="56"/>
        <v>149827.17439224359</v>
      </c>
    </row>
    <row r="374" spans="4:24">
      <c r="D374" s="9" t="s">
        <v>1202</v>
      </c>
      <c r="E374" s="9" t="s">
        <v>2768</v>
      </c>
      <c r="F374" s="4" t="s">
        <v>375</v>
      </c>
      <c r="G374" s="9" t="s">
        <v>3345</v>
      </c>
      <c r="H374" s="164">
        <v>2129369.161430567</v>
      </c>
      <c r="I374" s="165">
        <v>1394359.0574155378</v>
      </c>
      <c r="J374" s="165">
        <v>951764.83955086092</v>
      </c>
      <c r="K374" s="165">
        <v>958918.51733991597</v>
      </c>
      <c r="L374" s="177">
        <f t="shared" si="57"/>
        <v>3081134.0009814277</v>
      </c>
      <c r="M374" s="166">
        <f t="shared" si="58"/>
        <v>2353277.5747554535</v>
      </c>
      <c r="N374" s="189">
        <f>INDEX('CHIRP Payment Calc'!AM:AM,MATCH(F374,'CHIRP Payment Calc'!C:C,0))</f>
        <v>0.52</v>
      </c>
      <c r="O374" s="189">
        <f>INDEX('CHIRP Payment Calc'!AL:AL,MATCH(FeeCalc!F374,'CHIRP Payment Calc'!C:C,0))</f>
        <v>0.09</v>
      </c>
      <c r="P374" s="164">
        <f t="shared" si="55"/>
        <v>1813984.6622383334</v>
      </c>
      <c r="Q374" s="165">
        <f t="shared" si="59"/>
        <v>75208.43082111339</v>
      </c>
      <c r="R374" s="165">
        <f t="shared" si="60"/>
        <v>37099.173391087672</v>
      </c>
      <c r="S374" s="165">
        <f t="shared" si="61"/>
        <v>112307.60421220105</v>
      </c>
      <c r="T374" s="165">
        <f t="shared" si="62"/>
        <v>1174824.3649272094</v>
      </c>
      <c r="U374" s="165">
        <f t="shared" si="63"/>
        <v>526508.20911324222</v>
      </c>
      <c r="V374" s="165">
        <f t="shared" si="64"/>
        <v>133148.34500519722</v>
      </c>
      <c r="W374" s="165">
        <f t="shared" si="65"/>
        <v>91811.347404885571</v>
      </c>
      <c r="X374" s="166">
        <f t="shared" si="56"/>
        <v>618319.55651812779</v>
      </c>
    </row>
    <row r="375" spans="4:24">
      <c r="D375" s="9" t="s">
        <v>1202</v>
      </c>
      <c r="E375" s="9" t="s">
        <v>2768</v>
      </c>
      <c r="F375" s="4" t="s">
        <v>423</v>
      </c>
      <c r="G375" s="9" t="s">
        <v>2978</v>
      </c>
      <c r="H375" s="164">
        <v>200567.48114622888</v>
      </c>
      <c r="I375" s="165">
        <v>45428.124737202314</v>
      </c>
      <c r="J375" s="165">
        <v>253959.32319150813</v>
      </c>
      <c r="K375" s="165">
        <v>132855.83260979323</v>
      </c>
      <c r="L375" s="177">
        <f t="shared" si="57"/>
        <v>454526.80433773703</v>
      </c>
      <c r="M375" s="166">
        <f t="shared" si="58"/>
        <v>178283.95734699554</v>
      </c>
      <c r="N375" s="189">
        <f>INDEX('CHIRP Payment Calc'!AM:AM,MATCH(F375,'CHIRP Payment Calc'!C:C,0))</f>
        <v>0.17</v>
      </c>
      <c r="O375" s="189">
        <f>INDEX('CHIRP Payment Calc'!AL:AL,MATCH(FeeCalc!F375,'CHIRP Payment Calc'!C:C,0))</f>
        <v>0</v>
      </c>
      <c r="P375" s="164">
        <f t="shared" si="55"/>
        <v>77269.556737415303</v>
      </c>
      <c r="Q375" s="165">
        <f t="shared" si="59"/>
        <v>2080.1561041956365</v>
      </c>
      <c r="R375" s="165">
        <f t="shared" si="60"/>
        <v>2755.7288261206204</v>
      </c>
      <c r="S375" s="165">
        <f t="shared" si="61"/>
        <v>4835.8849303162569</v>
      </c>
      <c r="T375" s="165">
        <f t="shared" si="62"/>
        <v>36176.627899054547</v>
      </c>
      <c r="U375" s="165">
        <f t="shared" si="63"/>
        <v>45928.813768677006</v>
      </c>
      <c r="V375" s="165">
        <f t="shared" si="64"/>
        <v>0</v>
      </c>
      <c r="W375" s="165">
        <f t="shared" si="65"/>
        <v>0</v>
      </c>
      <c r="X375" s="166">
        <f t="shared" si="56"/>
        <v>45928.813768677006</v>
      </c>
    </row>
    <row r="376" spans="4:24">
      <c r="D376" s="9" t="s">
        <v>1202</v>
      </c>
      <c r="E376" s="9" t="s">
        <v>2768</v>
      </c>
      <c r="F376" s="4" t="s">
        <v>1008</v>
      </c>
      <c r="G376" s="9" t="s">
        <v>3090</v>
      </c>
      <c r="H376" s="164">
        <v>1013476.3292785356</v>
      </c>
      <c r="I376" s="165">
        <v>38964.66406632735</v>
      </c>
      <c r="J376" s="165">
        <v>350675.00027839094</v>
      </c>
      <c r="K376" s="165">
        <v>278696.61884216696</v>
      </c>
      <c r="L376" s="177">
        <f t="shared" si="57"/>
        <v>1364151.3295569266</v>
      </c>
      <c r="M376" s="166">
        <f t="shared" si="58"/>
        <v>317661.28290849429</v>
      </c>
      <c r="N376" s="189">
        <f>INDEX('CHIRP Payment Calc'!AM:AM,MATCH(F376,'CHIRP Payment Calc'!C:C,0))</f>
        <v>0.54</v>
      </c>
      <c r="O376" s="189">
        <f>INDEX('CHIRP Payment Calc'!AL:AL,MATCH(FeeCalc!F376,'CHIRP Payment Calc'!C:C,0))</f>
        <v>0</v>
      </c>
      <c r="P376" s="164">
        <f t="shared" si="55"/>
        <v>736641.71796074044</v>
      </c>
      <c r="Q376" s="165">
        <f t="shared" si="59"/>
        <v>33388.265277558123</v>
      </c>
      <c r="R376" s="165">
        <f t="shared" si="60"/>
        <v>12087.095754276455</v>
      </c>
      <c r="S376" s="165">
        <f t="shared" si="61"/>
        <v>45475.361031834575</v>
      </c>
      <c r="T376" s="165">
        <f t="shared" si="62"/>
        <v>580665.48308796738</v>
      </c>
      <c r="U376" s="165">
        <f t="shared" si="63"/>
        <v>201451.59590460759</v>
      </c>
      <c r="V376" s="165">
        <f t="shared" si="64"/>
        <v>0</v>
      </c>
      <c r="W376" s="165">
        <f t="shared" si="65"/>
        <v>0</v>
      </c>
      <c r="X376" s="166">
        <f t="shared" si="56"/>
        <v>201451.59590460759</v>
      </c>
    </row>
    <row r="377" spans="4:24">
      <c r="D377" s="9" t="s">
        <v>1202</v>
      </c>
      <c r="E377" s="9" t="s">
        <v>3389</v>
      </c>
      <c r="F377" s="4" t="s">
        <v>2780</v>
      </c>
      <c r="G377" s="9" t="s">
        <v>3586</v>
      </c>
      <c r="H377" s="164">
        <v>0</v>
      </c>
      <c r="I377" s="165">
        <v>6818.0430852158661</v>
      </c>
      <c r="J377" s="165">
        <v>0</v>
      </c>
      <c r="K377" s="165">
        <v>0</v>
      </c>
      <c r="L377" s="177">
        <f t="shared" si="57"/>
        <v>0</v>
      </c>
      <c r="M377" s="166">
        <f t="shared" si="58"/>
        <v>6818.0430852158661</v>
      </c>
      <c r="N377" s="189">
        <f>INDEX('CHIRP Payment Calc'!AM:AM,MATCH(F377,'CHIRP Payment Calc'!C:C,0))</f>
        <v>0</v>
      </c>
      <c r="O377" s="189">
        <f>INDEX('CHIRP Payment Calc'!AL:AL,MATCH(FeeCalc!F377,'CHIRP Payment Calc'!C:C,0))</f>
        <v>19.57</v>
      </c>
      <c r="P377" s="164">
        <f t="shared" si="55"/>
        <v>133429.10317767449</v>
      </c>
      <c r="Q377" s="165">
        <f t="shared" si="59"/>
        <v>8140.2370638899574</v>
      </c>
      <c r="R377" s="165">
        <f t="shared" si="60"/>
        <v>0</v>
      </c>
      <c r="S377" s="165">
        <f t="shared" si="61"/>
        <v>8140.2370638899574</v>
      </c>
      <c r="T377" s="165">
        <f t="shared" si="62"/>
        <v>0</v>
      </c>
      <c r="U377" s="165">
        <f t="shared" si="63"/>
        <v>0</v>
      </c>
      <c r="V377" s="165">
        <f t="shared" si="64"/>
        <v>141569.34024156447</v>
      </c>
      <c r="W377" s="165">
        <f t="shared" si="65"/>
        <v>0</v>
      </c>
      <c r="X377" s="166">
        <f t="shared" si="56"/>
        <v>0</v>
      </c>
    </row>
    <row r="378" spans="4:24">
      <c r="D378" s="9" t="s">
        <v>1202</v>
      </c>
      <c r="E378" s="9" t="s">
        <v>2718</v>
      </c>
      <c r="F378" s="4" t="s">
        <v>1023</v>
      </c>
      <c r="G378" s="9" t="s">
        <v>2995</v>
      </c>
      <c r="H378" s="164">
        <v>700169.15650831966</v>
      </c>
      <c r="I378" s="165">
        <v>2771724.0008541048</v>
      </c>
      <c r="J378" s="165">
        <v>1879574.5926281323</v>
      </c>
      <c r="K378" s="165">
        <v>7653738.3340508323</v>
      </c>
      <c r="L378" s="177">
        <f t="shared" si="57"/>
        <v>2579743.7491364521</v>
      </c>
      <c r="M378" s="166">
        <f t="shared" si="58"/>
        <v>10425462.334904937</v>
      </c>
      <c r="N378" s="189">
        <f>INDEX('CHIRP Payment Calc'!AM:AM,MATCH(F378,'CHIRP Payment Calc'!C:C,0))</f>
        <v>1.83</v>
      </c>
      <c r="O378" s="189">
        <f>INDEX('CHIRP Payment Calc'!AL:AL,MATCH(FeeCalc!F378,'CHIRP Payment Calc'!C:C,0))</f>
        <v>1.76</v>
      </c>
      <c r="P378" s="164">
        <f t="shared" si="55"/>
        <v>23069744.770352393</v>
      </c>
      <c r="Q378" s="165">
        <f t="shared" si="59"/>
        <v>375781.18661010434</v>
      </c>
      <c r="R378" s="165">
        <f t="shared" si="60"/>
        <v>1079374.5301556778</v>
      </c>
      <c r="S378" s="165">
        <f t="shared" si="61"/>
        <v>1455155.7167657821</v>
      </c>
      <c r="T378" s="165">
        <f t="shared" si="62"/>
        <v>1359479.6354485145</v>
      </c>
      <c r="U378" s="165">
        <f t="shared" si="63"/>
        <v>3659171.8133079601</v>
      </c>
      <c r="V378" s="165">
        <f t="shared" si="64"/>
        <v>5175845.3490750389</v>
      </c>
      <c r="W378" s="165">
        <f t="shared" si="65"/>
        <v>14330403.689286666</v>
      </c>
      <c r="X378" s="166">
        <f t="shared" si="56"/>
        <v>17989575.502594627</v>
      </c>
    </row>
    <row r="379" spans="4:24">
      <c r="D379" s="9" t="s">
        <v>1202</v>
      </c>
      <c r="E379" s="9" t="s">
        <v>2718</v>
      </c>
      <c r="F379" s="4" t="s">
        <v>387</v>
      </c>
      <c r="G379" s="9" t="s">
        <v>2987</v>
      </c>
      <c r="H379" s="164">
        <v>560098.89823208959</v>
      </c>
      <c r="I379" s="165">
        <v>2377846.276484149</v>
      </c>
      <c r="J379" s="165">
        <v>289279.55746065668</v>
      </c>
      <c r="K379" s="165">
        <v>579266.77898698568</v>
      </c>
      <c r="L379" s="177">
        <f t="shared" si="57"/>
        <v>849378.45569274621</v>
      </c>
      <c r="M379" s="166">
        <f t="shared" si="58"/>
        <v>2957113.0554711348</v>
      </c>
      <c r="N379" s="189">
        <f>INDEX('CHIRP Payment Calc'!AM:AM,MATCH(F379,'CHIRP Payment Calc'!C:C,0))</f>
        <v>2.06</v>
      </c>
      <c r="O379" s="189">
        <f>INDEX('CHIRP Payment Calc'!AL:AL,MATCH(FeeCalc!F379,'CHIRP Payment Calc'!C:C,0))</f>
        <v>1.71</v>
      </c>
      <c r="P379" s="164">
        <f t="shared" si="55"/>
        <v>6806382.9435826978</v>
      </c>
      <c r="Q379" s="165">
        <f t="shared" si="59"/>
        <v>318456.71048370819</v>
      </c>
      <c r="R379" s="165">
        <f t="shared" si="60"/>
        <v>101263.53704915098</v>
      </c>
      <c r="S379" s="165">
        <f t="shared" si="61"/>
        <v>419720.24753285915</v>
      </c>
      <c r="T379" s="165">
        <f t="shared" si="62"/>
        <v>1224194.9393719942</v>
      </c>
      <c r="U379" s="165">
        <f t="shared" si="63"/>
        <v>633953.07273292856</v>
      </c>
      <c r="V379" s="165">
        <f t="shared" si="64"/>
        <v>4314182.6342577133</v>
      </c>
      <c r="W379" s="165">
        <f t="shared" si="65"/>
        <v>1053772.544752921</v>
      </c>
      <c r="X379" s="166">
        <f t="shared" si="56"/>
        <v>1687725.6174858497</v>
      </c>
    </row>
    <row r="380" spans="4:24">
      <c r="D380" s="9" t="s">
        <v>1202</v>
      </c>
      <c r="E380" s="9" t="s">
        <v>2718</v>
      </c>
      <c r="F380" s="4" t="s">
        <v>2725</v>
      </c>
      <c r="G380" s="9" t="s">
        <v>3492</v>
      </c>
      <c r="H380" s="164">
        <v>285163.09334748681</v>
      </c>
      <c r="I380" s="165">
        <v>11875.289277535116</v>
      </c>
      <c r="J380" s="165">
        <v>140091.00539082632</v>
      </c>
      <c r="K380" s="165">
        <v>35630.051138550945</v>
      </c>
      <c r="L380" s="177">
        <f t="shared" si="57"/>
        <v>425254.09873831313</v>
      </c>
      <c r="M380" s="166">
        <f t="shared" si="58"/>
        <v>47505.340416086059</v>
      </c>
      <c r="N380" s="189">
        <f>INDEX('CHIRP Payment Calc'!AM:AM,MATCH(F380,'CHIRP Payment Calc'!C:C,0))</f>
        <v>1.83</v>
      </c>
      <c r="O380" s="189">
        <f>INDEX('CHIRP Payment Calc'!AL:AL,MATCH(FeeCalc!F380,'CHIRP Payment Calc'!C:C,0))</f>
        <v>3.36</v>
      </c>
      <c r="P380" s="164">
        <f t="shared" si="55"/>
        <v>937832.94448916218</v>
      </c>
      <c r="Q380" s="165">
        <f t="shared" si="59"/>
        <v>34271.18555534121</v>
      </c>
      <c r="R380" s="165">
        <f t="shared" si="60"/>
        <v>24005.33053345171</v>
      </c>
      <c r="S380" s="165">
        <f t="shared" si="61"/>
        <v>58276.516088792923</v>
      </c>
      <c r="T380" s="165">
        <f t="shared" si="62"/>
        <v>553685.36957655265</v>
      </c>
      <c r="U380" s="165">
        <f t="shared" si="63"/>
        <v>272730.36155873642</v>
      </c>
      <c r="V380" s="165">
        <f t="shared" si="64"/>
        <v>42335.248777207416</v>
      </c>
      <c r="W380" s="165">
        <f t="shared" si="65"/>
        <v>127358.4806654587</v>
      </c>
      <c r="X380" s="166">
        <f t="shared" si="56"/>
        <v>400088.84222419513</v>
      </c>
    </row>
    <row r="381" spans="4:24">
      <c r="D381" s="9" t="s">
        <v>1202</v>
      </c>
      <c r="E381" s="9" t="s">
        <v>2718</v>
      </c>
      <c r="F381" s="4" t="s">
        <v>1729</v>
      </c>
      <c r="G381" s="9" t="s">
        <v>2994</v>
      </c>
      <c r="H381" s="164">
        <v>142144.2213378193</v>
      </c>
      <c r="I381" s="165">
        <v>5243.9032194215833</v>
      </c>
      <c r="J381" s="165">
        <v>163861.12296773109</v>
      </c>
      <c r="K381" s="165">
        <v>10677.222979199003</v>
      </c>
      <c r="L381" s="177">
        <f t="shared" si="57"/>
        <v>306005.34430555039</v>
      </c>
      <c r="M381" s="166">
        <f t="shared" si="58"/>
        <v>15921.126198620586</v>
      </c>
      <c r="N381" s="189">
        <f>INDEX('CHIRP Payment Calc'!AM:AM,MATCH(F381,'CHIRP Payment Calc'!C:C,0))</f>
        <v>1.9000000000000001</v>
      </c>
      <c r="O381" s="189">
        <f>INDEX('CHIRP Payment Calc'!AL:AL,MATCH(FeeCalc!F381,'CHIRP Payment Calc'!C:C,0))</f>
        <v>12.57</v>
      </c>
      <c r="P381" s="164">
        <f t="shared" si="55"/>
        <v>781538.71049720654</v>
      </c>
      <c r="Q381" s="165">
        <f t="shared" si="59"/>
        <v>20498.056584163602</v>
      </c>
      <c r="R381" s="165">
        <f t="shared" si="60"/>
        <v>28439.286797056637</v>
      </c>
      <c r="S381" s="165">
        <f t="shared" si="61"/>
        <v>48937.343381220242</v>
      </c>
      <c r="T381" s="165">
        <f t="shared" si="62"/>
        <v>286550.68492504687</v>
      </c>
      <c r="U381" s="165">
        <f t="shared" si="63"/>
        <v>331208.6528071161</v>
      </c>
      <c r="V381" s="165">
        <f t="shared" si="64"/>
        <v>69937.255669102713</v>
      </c>
      <c r="W381" s="165">
        <f t="shared" si="65"/>
        <v>142779.46047716116</v>
      </c>
      <c r="X381" s="166">
        <f t="shared" si="56"/>
        <v>473988.11328427726</v>
      </c>
    </row>
    <row r="382" spans="4:24">
      <c r="D382" s="9" t="s">
        <v>1202</v>
      </c>
      <c r="E382" s="9" t="s">
        <v>2718</v>
      </c>
      <c r="F382" s="4" t="s">
        <v>1029</v>
      </c>
      <c r="G382" s="9" t="s">
        <v>2986</v>
      </c>
      <c r="H382" s="164">
        <v>3062075.4749844773</v>
      </c>
      <c r="I382" s="165">
        <v>13505422.909905754</v>
      </c>
      <c r="J382" s="165">
        <v>2572215.9341990664</v>
      </c>
      <c r="K382" s="165">
        <v>3623881.0197235416</v>
      </c>
      <c r="L382" s="177">
        <f t="shared" si="57"/>
        <v>5634291.4091835432</v>
      </c>
      <c r="M382" s="166">
        <f t="shared" si="58"/>
        <v>17129303.929629296</v>
      </c>
      <c r="N382" s="189">
        <f>INDEX('CHIRP Payment Calc'!AM:AM,MATCH(F382,'CHIRP Payment Calc'!C:C,0))</f>
        <v>1.83</v>
      </c>
      <c r="O382" s="189">
        <f>INDEX('CHIRP Payment Calc'!AL:AL,MATCH(FeeCalc!F382,'CHIRP Payment Calc'!C:C,0))</f>
        <v>2.08</v>
      </c>
      <c r="P382" s="164">
        <f t="shared" si="55"/>
        <v>45939705.452434815</v>
      </c>
      <c r="Q382" s="165">
        <f t="shared" si="59"/>
        <v>2055655.6730821959</v>
      </c>
      <c r="R382" s="165">
        <f t="shared" si="60"/>
        <v>781584.74557080376</v>
      </c>
      <c r="S382" s="165">
        <f t="shared" si="61"/>
        <v>2837240.4186529997</v>
      </c>
      <c r="T382" s="165">
        <f t="shared" si="62"/>
        <v>5945462.1954605766</v>
      </c>
      <c r="U382" s="165">
        <f t="shared" si="63"/>
        <v>5007611.8718981827</v>
      </c>
      <c r="V382" s="165">
        <f t="shared" si="64"/>
        <v>29805071.249447182</v>
      </c>
      <c r="W382" s="165">
        <f t="shared" si="65"/>
        <v>8018800.5542818792</v>
      </c>
      <c r="X382" s="166">
        <f t="shared" si="56"/>
        <v>13026412.426180061</v>
      </c>
    </row>
    <row r="383" spans="4:24">
      <c r="D383" s="9" t="s">
        <v>1202</v>
      </c>
      <c r="E383" s="9" t="s">
        <v>2718</v>
      </c>
      <c r="F383" s="4" t="s">
        <v>1450</v>
      </c>
      <c r="G383" s="9" t="s">
        <v>3128</v>
      </c>
      <c r="H383" s="164">
        <v>0</v>
      </c>
      <c r="I383" s="165">
        <v>73003.193953041846</v>
      </c>
      <c r="J383" s="165">
        <v>0</v>
      </c>
      <c r="K383" s="165">
        <v>294724.42965120135</v>
      </c>
      <c r="L383" s="177">
        <f t="shared" si="57"/>
        <v>0</v>
      </c>
      <c r="M383" s="166">
        <f t="shared" si="58"/>
        <v>367727.62360424321</v>
      </c>
      <c r="N383" s="189">
        <f>INDEX('CHIRP Payment Calc'!AM:AM,MATCH(F383,'CHIRP Payment Calc'!C:C,0))</f>
        <v>1.83</v>
      </c>
      <c r="O383" s="189">
        <f>INDEX('CHIRP Payment Calc'!AL:AL,MATCH(FeeCalc!F383,'CHIRP Payment Calc'!C:C,0))</f>
        <v>0.75</v>
      </c>
      <c r="P383" s="164">
        <f t="shared" ref="P383:P397" si="66">(L383*N383)+(M383*O383)</f>
        <v>275795.71770318242</v>
      </c>
      <c r="Q383" s="165">
        <f t="shared" si="59"/>
        <v>3340.3318188062917</v>
      </c>
      <c r="R383" s="165">
        <f t="shared" si="60"/>
        <v>14109.148227983043</v>
      </c>
      <c r="S383" s="165">
        <f t="shared" si="61"/>
        <v>17449.480046789336</v>
      </c>
      <c r="T383" s="165">
        <f t="shared" si="62"/>
        <v>0</v>
      </c>
      <c r="U383" s="165">
        <f t="shared" si="63"/>
        <v>0</v>
      </c>
      <c r="V383" s="165">
        <f t="shared" si="64"/>
        <v>58092.727283587679</v>
      </c>
      <c r="W383" s="165">
        <f t="shared" si="65"/>
        <v>235152.47046638405</v>
      </c>
      <c r="X383" s="166">
        <f t="shared" ref="X383:X397" si="67">U383+W383</f>
        <v>235152.47046638405</v>
      </c>
    </row>
    <row r="384" spans="4:24">
      <c r="D384" s="9" t="s">
        <v>1202</v>
      </c>
      <c r="E384" s="9" t="s">
        <v>2718</v>
      </c>
      <c r="F384" s="4" t="s">
        <v>1005</v>
      </c>
      <c r="G384" s="9" t="s">
        <v>3489</v>
      </c>
      <c r="H384" s="164">
        <v>1286416.3205243195</v>
      </c>
      <c r="I384" s="165">
        <v>433683.58175868745</v>
      </c>
      <c r="J384" s="165">
        <v>1370884.8351352371</v>
      </c>
      <c r="K384" s="165">
        <v>631330.27872580488</v>
      </c>
      <c r="L384" s="177">
        <f t="shared" ref="L384:L397" si="68">H384+J384</f>
        <v>2657301.1556595564</v>
      </c>
      <c r="M384" s="166">
        <f t="shared" ref="M384:M397" si="69">I384+K384</f>
        <v>1065013.8604844923</v>
      </c>
      <c r="N384" s="189">
        <f>INDEX('CHIRP Payment Calc'!AM:AM,MATCH(F384,'CHIRP Payment Calc'!C:C,0))</f>
        <v>1.83</v>
      </c>
      <c r="O384" s="189">
        <f>INDEX('CHIRP Payment Calc'!AL:AL,MATCH(FeeCalc!F384,'CHIRP Payment Calc'!C:C,0))</f>
        <v>3.42</v>
      </c>
      <c r="P384" s="164">
        <f t="shared" si="66"/>
        <v>8505208.5177139528</v>
      </c>
      <c r="Q384" s="165">
        <f t="shared" ref="Q384:Q397" si="70">(T384+V384)*$B$10</f>
        <v>234108.2585464376</v>
      </c>
      <c r="R384" s="165">
        <f t="shared" ref="R384:R397" si="71">(U384+W384)*$B$11</f>
        <v>297949.07243870664</v>
      </c>
      <c r="S384" s="165">
        <f t="shared" ref="S384:S397" si="72">(T384+V384)*$B$10+(U384+W384)*$B$11</f>
        <v>532057.33098514425</v>
      </c>
      <c r="T384" s="165">
        <f t="shared" ref="T384:T397" si="73">H384/(1-$B$10)*N384</f>
        <v>2497763.2536440371</v>
      </c>
      <c r="U384" s="165">
        <f t="shared" ref="U384:U397" si="74">J384/(1-$B$11)*N384</f>
        <v>2668850.26414626</v>
      </c>
      <c r="V384" s="165">
        <f t="shared" ref="V384:V397" si="75">I384/(1-$B$10)*O384</f>
        <v>1573684.7210766166</v>
      </c>
      <c r="W384" s="165">
        <f t="shared" ref="W384:W397" si="76">K384/(1-$B$11)*O384</f>
        <v>2296967.6098321839</v>
      </c>
      <c r="X384" s="166">
        <f t="shared" si="67"/>
        <v>4965817.8739784434</v>
      </c>
    </row>
    <row r="385" spans="4:24">
      <c r="D385" s="9" t="s">
        <v>1202</v>
      </c>
      <c r="E385" s="9" t="s">
        <v>2718</v>
      </c>
      <c r="F385" s="4" t="s">
        <v>1474</v>
      </c>
      <c r="G385" s="9" t="s">
        <v>3479</v>
      </c>
      <c r="H385" s="164">
        <v>297765.37005145551</v>
      </c>
      <c r="I385" s="165">
        <v>67301.824947815199</v>
      </c>
      <c r="J385" s="165">
        <v>133100.04324822489</v>
      </c>
      <c r="K385" s="165">
        <v>85906.389486782966</v>
      </c>
      <c r="L385" s="177">
        <f t="shared" si="68"/>
        <v>430865.4132996804</v>
      </c>
      <c r="M385" s="166">
        <f t="shared" si="69"/>
        <v>153208.21443459817</v>
      </c>
      <c r="N385" s="189">
        <f>INDEX('CHIRP Payment Calc'!AM:AM,MATCH(F385,'CHIRP Payment Calc'!C:C,0))</f>
        <v>1.83</v>
      </c>
      <c r="O385" s="189">
        <f>INDEX('CHIRP Payment Calc'!AL:AL,MATCH(FeeCalc!F385,'CHIRP Payment Calc'!C:C,0))</f>
        <v>1.65</v>
      </c>
      <c r="P385" s="164">
        <f t="shared" si="66"/>
        <v>1041277.2601555021</v>
      </c>
      <c r="Q385" s="165">
        <f t="shared" si="70"/>
        <v>40018.696769855036</v>
      </c>
      <c r="R385" s="165">
        <f t="shared" si="71"/>
        <v>24594.805646645331</v>
      </c>
      <c r="S385" s="165">
        <f t="shared" si="72"/>
        <v>64613.502416500371</v>
      </c>
      <c r="T385" s="165">
        <f t="shared" si="73"/>
        <v>578154.51161184465</v>
      </c>
      <c r="U385" s="165">
        <f t="shared" si="74"/>
        <v>259120.29696196975</v>
      </c>
      <c r="V385" s="165">
        <f t="shared" si="75"/>
        <v>117822.82351606904</v>
      </c>
      <c r="W385" s="165">
        <f t="shared" si="76"/>
        <v>150793.13048211904</v>
      </c>
      <c r="X385" s="166">
        <f t="shared" si="67"/>
        <v>409913.4274440888</v>
      </c>
    </row>
    <row r="386" spans="4:24">
      <c r="D386" s="9" t="s">
        <v>1202</v>
      </c>
      <c r="E386" s="9" t="s">
        <v>2718</v>
      </c>
      <c r="F386" s="4" t="s">
        <v>555</v>
      </c>
      <c r="G386" s="9" t="s">
        <v>2979</v>
      </c>
      <c r="H386" s="164">
        <v>612845.7624544031</v>
      </c>
      <c r="I386" s="165">
        <v>1194928.1853431927</v>
      </c>
      <c r="J386" s="165">
        <v>453943.69163629372</v>
      </c>
      <c r="K386" s="165">
        <v>342463.30044977908</v>
      </c>
      <c r="L386" s="177">
        <f t="shared" si="68"/>
        <v>1066789.4540906968</v>
      </c>
      <c r="M386" s="166">
        <f t="shared" si="69"/>
        <v>1537391.4857929717</v>
      </c>
      <c r="N386" s="189">
        <f>INDEX('CHIRP Payment Calc'!AM:AM,MATCH(F386,'CHIRP Payment Calc'!C:C,0))</f>
        <v>1.83</v>
      </c>
      <c r="O386" s="189">
        <f>INDEX('CHIRP Payment Calc'!AL:AL,MATCH(FeeCalc!F386,'CHIRP Payment Calc'!C:C,0))</f>
        <v>2.73</v>
      </c>
      <c r="P386" s="164">
        <f t="shared" si="66"/>
        <v>6149303.457200788</v>
      </c>
      <c r="Q386" s="165">
        <f t="shared" si="70"/>
        <v>267438.24641751964</v>
      </c>
      <c r="R386" s="165">
        <f t="shared" si="71"/>
        <v>112700.53825036052</v>
      </c>
      <c r="S386" s="165">
        <f t="shared" si="72"/>
        <v>380138.78466788016</v>
      </c>
      <c r="T386" s="165">
        <f t="shared" si="73"/>
        <v>1189928.6422191593</v>
      </c>
      <c r="U386" s="165">
        <f t="shared" si="74"/>
        <v>883741.44222810376</v>
      </c>
      <c r="V386" s="165">
        <f t="shared" si="75"/>
        <v>3461171.2954768338</v>
      </c>
      <c r="W386" s="165">
        <f t="shared" si="76"/>
        <v>994600.86194457125</v>
      </c>
      <c r="X386" s="166">
        <f t="shared" si="67"/>
        <v>1878342.3041726751</v>
      </c>
    </row>
    <row r="387" spans="4:24">
      <c r="D387" s="9" t="s">
        <v>1202</v>
      </c>
      <c r="E387" s="9" t="s">
        <v>2718</v>
      </c>
      <c r="F387" s="4" t="s">
        <v>3135</v>
      </c>
      <c r="G387" s="9" t="s">
        <v>3535</v>
      </c>
      <c r="H387" s="164">
        <v>1118707.4910021489</v>
      </c>
      <c r="I387" s="165">
        <v>1100196.3079602432</v>
      </c>
      <c r="J387" s="165">
        <v>264756.34595072077</v>
      </c>
      <c r="K387" s="165">
        <v>424715.33139105228</v>
      </c>
      <c r="L387" s="177">
        <f t="shared" si="68"/>
        <v>1383463.8369528698</v>
      </c>
      <c r="M387" s="166">
        <f t="shared" si="69"/>
        <v>1524911.6393512955</v>
      </c>
      <c r="N387" s="189">
        <f>INDEX('CHIRP Payment Calc'!AM:AM,MATCH(F387,'CHIRP Payment Calc'!C:C,0))</f>
        <v>1.98</v>
      </c>
      <c r="O387" s="189">
        <f>INDEX('CHIRP Payment Calc'!AL:AL,MATCH(FeeCalc!F387,'CHIRP Payment Calc'!C:C,0))</f>
        <v>2.97</v>
      </c>
      <c r="P387" s="164">
        <f t="shared" si="66"/>
        <v>7268245.9660400301</v>
      </c>
      <c r="Q387" s="165">
        <f t="shared" si="70"/>
        <v>334483.68418302934</v>
      </c>
      <c r="R387" s="165">
        <f t="shared" si="71"/>
        <v>113975.87867322464</v>
      </c>
      <c r="S387" s="165">
        <f t="shared" si="72"/>
        <v>448459.56285625399</v>
      </c>
      <c r="T387" s="165">
        <f t="shared" si="73"/>
        <v>2350175.949267114</v>
      </c>
      <c r="U387" s="165">
        <f t="shared" si="74"/>
        <v>557678.26061960333</v>
      </c>
      <c r="V387" s="165">
        <f t="shared" si="75"/>
        <v>3466931.6017420925</v>
      </c>
      <c r="W387" s="165">
        <f t="shared" si="76"/>
        <v>1341919.7172674739</v>
      </c>
      <c r="X387" s="166">
        <f t="shared" si="67"/>
        <v>1899597.9778870773</v>
      </c>
    </row>
    <row r="388" spans="4:24">
      <c r="D388" s="9" t="s">
        <v>1202</v>
      </c>
      <c r="E388" s="9" t="s">
        <v>2718</v>
      </c>
      <c r="F388" s="4" t="s">
        <v>1419</v>
      </c>
      <c r="G388" s="9" t="s">
        <v>3119</v>
      </c>
      <c r="H388" s="164">
        <v>0</v>
      </c>
      <c r="I388" s="165">
        <v>145143.39662680426</v>
      </c>
      <c r="J388" s="165">
        <v>0</v>
      </c>
      <c r="K388" s="165">
        <v>33099.690239989453</v>
      </c>
      <c r="L388" s="177">
        <f t="shared" si="68"/>
        <v>0</v>
      </c>
      <c r="M388" s="166">
        <f t="shared" si="69"/>
        <v>178243.08686679372</v>
      </c>
      <c r="N388" s="189">
        <f>INDEX('CHIRP Payment Calc'!AM:AM,MATCH(F388,'CHIRP Payment Calc'!C:C,0))</f>
        <v>1.83</v>
      </c>
      <c r="O388" s="189">
        <f>INDEX('CHIRP Payment Calc'!AL:AL,MATCH(FeeCalc!F388,'CHIRP Payment Calc'!C:C,0))</f>
        <v>0.75</v>
      </c>
      <c r="P388" s="164">
        <f t="shared" si="66"/>
        <v>133682.3151500953</v>
      </c>
      <c r="Q388" s="165">
        <f t="shared" si="70"/>
        <v>6641.1766361070913</v>
      </c>
      <c r="R388" s="165">
        <f t="shared" si="71"/>
        <v>1584.5596391484316</v>
      </c>
      <c r="S388" s="165">
        <f t="shared" si="72"/>
        <v>8225.7362752555237</v>
      </c>
      <c r="T388" s="165">
        <f t="shared" si="73"/>
        <v>0</v>
      </c>
      <c r="U388" s="165">
        <f t="shared" si="74"/>
        <v>0</v>
      </c>
      <c r="V388" s="165">
        <f t="shared" si="75"/>
        <v>115498.72410621028</v>
      </c>
      <c r="W388" s="165">
        <f t="shared" si="76"/>
        <v>26409.327319140524</v>
      </c>
      <c r="X388" s="166">
        <f t="shared" si="67"/>
        <v>26409.327319140524</v>
      </c>
    </row>
    <row r="389" spans="4:24">
      <c r="D389" s="9" t="s">
        <v>1202</v>
      </c>
      <c r="E389" s="9" t="s">
        <v>2718</v>
      </c>
      <c r="F389" s="4" t="s">
        <v>1035</v>
      </c>
      <c r="G389" s="9" t="s">
        <v>2993</v>
      </c>
      <c r="H389" s="164">
        <v>760667.8312807628</v>
      </c>
      <c r="I389" s="165">
        <v>1712807.3830196403</v>
      </c>
      <c r="J389" s="165">
        <v>390466.52734023368</v>
      </c>
      <c r="K389" s="165">
        <v>2235669.4891918427</v>
      </c>
      <c r="L389" s="177">
        <f t="shared" si="68"/>
        <v>1151134.3586209966</v>
      </c>
      <c r="M389" s="166">
        <f t="shared" si="69"/>
        <v>3948476.8722114833</v>
      </c>
      <c r="N389" s="189">
        <f>INDEX('CHIRP Payment Calc'!AM:AM,MATCH(F389,'CHIRP Payment Calc'!C:C,0))</f>
        <v>2.2800000000000002</v>
      </c>
      <c r="O389" s="189">
        <f>INDEX('CHIRP Payment Calc'!AL:AL,MATCH(FeeCalc!F389,'CHIRP Payment Calc'!C:C,0))</f>
        <v>1.71</v>
      </c>
      <c r="P389" s="164">
        <f t="shared" si="66"/>
        <v>9376481.7891375087</v>
      </c>
      <c r="Q389" s="165">
        <f t="shared" si="70"/>
        <v>284493.72797486919</v>
      </c>
      <c r="R389" s="165">
        <f t="shared" si="71"/>
        <v>300846.28779917769</v>
      </c>
      <c r="S389" s="165">
        <f t="shared" si="72"/>
        <v>585340.01577404689</v>
      </c>
      <c r="T389" s="165">
        <f t="shared" si="73"/>
        <v>1840130.138270705</v>
      </c>
      <c r="U389" s="165">
        <f t="shared" si="74"/>
        <v>947089.02376141795</v>
      </c>
      <c r="V389" s="165">
        <f t="shared" si="75"/>
        <v>3107586.8699878887</v>
      </c>
      <c r="W389" s="165">
        <f t="shared" si="76"/>
        <v>4067015.7728915438</v>
      </c>
      <c r="X389" s="166">
        <f t="shared" si="67"/>
        <v>5014104.7966529615</v>
      </c>
    </row>
    <row r="390" spans="4:24">
      <c r="D390" s="9" t="s">
        <v>1202</v>
      </c>
      <c r="E390" s="9" t="s">
        <v>2718</v>
      </c>
      <c r="F390" s="4" t="s">
        <v>1032</v>
      </c>
      <c r="G390" s="9" t="s">
        <v>2991</v>
      </c>
      <c r="H390" s="164">
        <v>1092342.3896870746</v>
      </c>
      <c r="I390" s="165">
        <v>2593409.751496552</v>
      </c>
      <c r="J390" s="165">
        <v>538207.58515539602</v>
      </c>
      <c r="K390" s="165">
        <v>1452306.9167404412</v>
      </c>
      <c r="L390" s="177">
        <f t="shared" si="68"/>
        <v>1630549.9748424706</v>
      </c>
      <c r="M390" s="166">
        <f t="shared" si="69"/>
        <v>4045716.6682369933</v>
      </c>
      <c r="N390" s="189">
        <f>INDEX('CHIRP Payment Calc'!AM:AM,MATCH(F390,'CHIRP Payment Calc'!C:C,0))</f>
        <v>2.04</v>
      </c>
      <c r="O390" s="189">
        <f>INDEX('CHIRP Payment Calc'!AL:AL,MATCH(FeeCalc!F390,'CHIRP Payment Calc'!C:C,0))</f>
        <v>2.4500000000000002</v>
      </c>
      <c r="P390" s="164">
        <f t="shared" si="66"/>
        <v>13238327.785859276</v>
      </c>
      <c r="Q390" s="165">
        <f t="shared" si="70"/>
        <v>523584.46796007501</v>
      </c>
      <c r="R390" s="165">
        <f t="shared" si="71"/>
        <v>297197.57998283551</v>
      </c>
      <c r="S390" s="165">
        <f t="shared" si="72"/>
        <v>820782.04794291058</v>
      </c>
      <c r="T390" s="165">
        <f t="shared" si="73"/>
        <v>2364327.2943889997</v>
      </c>
      <c r="U390" s="165">
        <f t="shared" si="74"/>
        <v>1168024.9720393703</v>
      </c>
      <c r="V390" s="165">
        <f t="shared" si="75"/>
        <v>6741489.5396992611</v>
      </c>
      <c r="W390" s="165">
        <f t="shared" si="76"/>
        <v>3785268.0276745544</v>
      </c>
      <c r="X390" s="166">
        <f t="shared" si="67"/>
        <v>4953292.9997139247</v>
      </c>
    </row>
    <row r="391" spans="4:24">
      <c r="D391" s="9" t="s">
        <v>1202</v>
      </c>
      <c r="E391" s="9" t="s">
        <v>2718</v>
      </c>
      <c r="F391" s="4" t="s">
        <v>1066</v>
      </c>
      <c r="G391" s="9" t="s">
        <v>2969</v>
      </c>
      <c r="H391" s="164">
        <v>1458097.5606487081</v>
      </c>
      <c r="I391" s="165">
        <v>12097926.80868941</v>
      </c>
      <c r="J391" s="165">
        <v>878629.25915366376</v>
      </c>
      <c r="K391" s="165">
        <v>2231264.0631863284</v>
      </c>
      <c r="L391" s="177">
        <f t="shared" si="68"/>
        <v>2336726.8198023718</v>
      </c>
      <c r="M391" s="166">
        <f t="shared" si="69"/>
        <v>14329190.871875739</v>
      </c>
      <c r="N391" s="189">
        <f>INDEX('CHIRP Payment Calc'!AM:AM,MATCH(F391,'CHIRP Payment Calc'!C:C,0))</f>
        <v>2.6100000000000003</v>
      </c>
      <c r="O391" s="189">
        <f>INDEX('CHIRP Payment Calc'!AL:AL,MATCH(FeeCalc!F391,'CHIRP Payment Calc'!C:C,0))</f>
        <v>1.95</v>
      </c>
      <c r="P391" s="164">
        <f t="shared" si="66"/>
        <v>34040779.199841879</v>
      </c>
      <c r="Q391" s="165">
        <f t="shared" si="70"/>
        <v>1671410.1165396869</v>
      </c>
      <c r="R391" s="165">
        <f t="shared" si="71"/>
        <v>424097.06103857898</v>
      </c>
      <c r="S391" s="165">
        <f t="shared" si="72"/>
        <v>2095507.1775782658</v>
      </c>
      <c r="T391" s="165">
        <f t="shared" si="73"/>
        <v>4037808.6294887308</v>
      </c>
      <c r="U391" s="165">
        <f t="shared" si="74"/>
        <v>2439598.2621181519</v>
      </c>
      <c r="V391" s="165">
        <f t="shared" si="75"/>
        <v>25030193.397288434</v>
      </c>
      <c r="W391" s="165">
        <f t="shared" si="76"/>
        <v>4628686.0885248305</v>
      </c>
      <c r="X391" s="166">
        <f t="shared" si="67"/>
        <v>7068284.3506429829</v>
      </c>
    </row>
    <row r="392" spans="4:24">
      <c r="D392" s="9" t="s">
        <v>1202</v>
      </c>
      <c r="E392" s="9" t="s">
        <v>2718</v>
      </c>
      <c r="F392" s="4" t="s">
        <v>1060</v>
      </c>
      <c r="G392" s="9" t="s">
        <v>2968</v>
      </c>
      <c r="H392" s="164">
        <v>290044.6786760533</v>
      </c>
      <c r="I392" s="165">
        <v>1327017.564969054</v>
      </c>
      <c r="J392" s="165">
        <v>243389.10413833271</v>
      </c>
      <c r="K392" s="165">
        <v>1213260.7587623671</v>
      </c>
      <c r="L392" s="177">
        <f t="shared" si="68"/>
        <v>533433.78281438607</v>
      </c>
      <c r="M392" s="166">
        <f t="shared" si="69"/>
        <v>2540278.323731421</v>
      </c>
      <c r="N392" s="189">
        <f>INDEX('CHIRP Payment Calc'!AM:AM,MATCH(F392,'CHIRP Payment Calc'!C:C,0))</f>
        <v>3.05</v>
      </c>
      <c r="O392" s="189">
        <f>INDEX('CHIRP Payment Calc'!AL:AL,MATCH(FeeCalc!F392,'CHIRP Payment Calc'!C:C,0))</f>
        <v>1.89</v>
      </c>
      <c r="P392" s="164">
        <f t="shared" si="66"/>
        <v>6428099.0694362624</v>
      </c>
      <c r="Q392" s="165">
        <f t="shared" si="70"/>
        <v>206981.66514145868</v>
      </c>
      <c r="R392" s="165">
        <f t="shared" si="71"/>
        <v>193748.91074570993</v>
      </c>
      <c r="S392" s="165">
        <f t="shared" si="72"/>
        <v>400730.57588716864</v>
      </c>
      <c r="T392" s="165">
        <f t="shared" si="73"/>
        <v>938606.12197555706</v>
      </c>
      <c r="U392" s="165">
        <f t="shared" si="74"/>
        <v>789719.96555522853</v>
      </c>
      <c r="V392" s="165">
        <f t="shared" si="75"/>
        <v>2661075.0109193763</v>
      </c>
      <c r="W392" s="165">
        <f t="shared" si="76"/>
        <v>2439428.5468732701</v>
      </c>
      <c r="X392" s="166">
        <f t="shared" si="67"/>
        <v>3229148.5124284988</v>
      </c>
    </row>
    <row r="393" spans="4:24">
      <c r="D393" s="9" t="s">
        <v>1202</v>
      </c>
      <c r="E393" s="9" t="s">
        <v>2718</v>
      </c>
      <c r="F393" s="4" t="s">
        <v>1063</v>
      </c>
      <c r="G393" s="9" t="s">
        <v>3352</v>
      </c>
      <c r="H393" s="164">
        <v>1288066.1433392894</v>
      </c>
      <c r="I393" s="165">
        <v>4566614.765590501</v>
      </c>
      <c r="J393" s="165">
        <v>943566.77057153708</v>
      </c>
      <c r="K393" s="165">
        <v>4102138.1454454302</v>
      </c>
      <c r="L393" s="177">
        <f t="shared" si="68"/>
        <v>2231632.9139108267</v>
      </c>
      <c r="M393" s="166">
        <f t="shared" si="69"/>
        <v>8668752.9110359307</v>
      </c>
      <c r="N393" s="189">
        <f>INDEX('CHIRP Payment Calc'!AM:AM,MATCH(F393,'CHIRP Payment Calc'!C:C,0))</f>
        <v>2.33</v>
      </c>
      <c r="O393" s="189">
        <f>INDEX('CHIRP Payment Calc'!AL:AL,MATCH(FeeCalc!F393,'CHIRP Payment Calc'!C:C,0))</f>
        <v>1.85</v>
      </c>
      <c r="P393" s="164">
        <f t="shared" si="66"/>
        <v>21236897.574828699</v>
      </c>
      <c r="Q393" s="165">
        <f t="shared" si="70"/>
        <v>698506.42678362969</v>
      </c>
      <c r="R393" s="165">
        <f t="shared" si="71"/>
        <v>624731.8815641955</v>
      </c>
      <c r="S393" s="165">
        <f t="shared" si="72"/>
        <v>1323238.3083478252</v>
      </c>
      <c r="T393" s="165">
        <f t="shared" si="73"/>
        <v>3184290.8371146363</v>
      </c>
      <c r="U393" s="165">
        <f t="shared" si="74"/>
        <v>2338841.0376932784</v>
      </c>
      <c r="V393" s="165">
        <f t="shared" si="75"/>
        <v>8963647.019991966</v>
      </c>
      <c r="W393" s="165">
        <f t="shared" si="76"/>
        <v>8073356.9883766463</v>
      </c>
      <c r="X393" s="166">
        <f t="shared" si="67"/>
        <v>10412198.026069924</v>
      </c>
    </row>
    <row r="394" spans="4:24">
      <c r="D394" s="9" t="s">
        <v>1202</v>
      </c>
      <c r="E394" s="9" t="s">
        <v>2718</v>
      </c>
      <c r="F394" s="4" t="s">
        <v>1057</v>
      </c>
      <c r="G394" s="9" t="s">
        <v>2970</v>
      </c>
      <c r="H394" s="164">
        <v>829429.29023608286</v>
      </c>
      <c r="I394" s="165">
        <v>13548216.089590391</v>
      </c>
      <c r="J394" s="165">
        <v>1381292.1605395423</v>
      </c>
      <c r="K394" s="165">
        <v>5099813.5461580893</v>
      </c>
      <c r="L394" s="177">
        <f t="shared" si="68"/>
        <v>2210721.4507756252</v>
      </c>
      <c r="M394" s="166">
        <f t="shared" si="69"/>
        <v>18648029.63574848</v>
      </c>
      <c r="N394" s="189">
        <f>INDEX('CHIRP Payment Calc'!AM:AM,MATCH(F394,'CHIRP Payment Calc'!C:C,0))</f>
        <v>2.7800000000000002</v>
      </c>
      <c r="O394" s="189">
        <f>INDEX('CHIRP Payment Calc'!AL:AL,MATCH(FeeCalc!F394,'CHIRP Payment Calc'!C:C,0))</f>
        <v>1.65</v>
      </c>
      <c r="P394" s="164">
        <f t="shared" si="66"/>
        <v>36915054.532141231</v>
      </c>
      <c r="Q394" s="165">
        <f t="shared" si="70"/>
        <v>1504478.8048213539</v>
      </c>
      <c r="R394" s="165">
        <f t="shared" si="71"/>
        <v>782213.90792302822</v>
      </c>
      <c r="S394" s="165">
        <f t="shared" si="72"/>
        <v>2286692.7127443822</v>
      </c>
      <c r="T394" s="165">
        <f t="shared" si="73"/>
        <v>2446486.3945425046</v>
      </c>
      <c r="U394" s="165">
        <f t="shared" si="74"/>
        <v>4085098.0918084341</v>
      </c>
      <c r="V394" s="165">
        <f t="shared" si="75"/>
        <v>23718362.384959303</v>
      </c>
      <c r="W394" s="165">
        <f t="shared" si="76"/>
        <v>8951800.3735753689</v>
      </c>
      <c r="X394" s="166">
        <f t="shared" si="67"/>
        <v>13036898.465383803</v>
      </c>
    </row>
    <row r="395" spans="4:24">
      <c r="D395" s="9" t="s">
        <v>1202</v>
      </c>
      <c r="E395" s="9" t="s">
        <v>2718</v>
      </c>
      <c r="F395" s="4" t="s">
        <v>390</v>
      </c>
      <c r="G395" s="9" t="s">
        <v>2990</v>
      </c>
      <c r="H395" s="164">
        <v>183292.43452301959</v>
      </c>
      <c r="I395" s="165">
        <v>18908.190246574573</v>
      </c>
      <c r="J395" s="165">
        <v>98306.275231088395</v>
      </c>
      <c r="K395" s="165">
        <v>105214.05793548269</v>
      </c>
      <c r="L395" s="177">
        <f t="shared" si="68"/>
        <v>281598.70975410799</v>
      </c>
      <c r="M395" s="166">
        <f t="shared" si="69"/>
        <v>124122.24818205726</v>
      </c>
      <c r="N395" s="189">
        <f>INDEX('CHIRP Payment Calc'!AM:AM,MATCH(F395,'CHIRP Payment Calc'!C:C,0))</f>
        <v>2.19</v>
      </c>
      <c r="O395" s="189">
        <f>INDEX('CHIRP Payment Calc'!AL:AL,MATCH(FeeCalc!F395,'CHIRP Payment Calc'!C:C,0))</f>
        <v>1.33</v>
      </c>
      <c r="P395" s="164">
        <f t="shared" si="66"/>
        <v>781783.76444363268</v>
      </c>
      <c r="Q395" s="165">
        <f t="shared" si="70"/>
        <v>26023.452165960782</v>
      </c>
      <c r="R395" s="165">
        <f t="shared" si="71"/>
        <v>22673.96424320908</v>
      </c>
      <c r="S395" s="165">
        <f t="shared" si="72"/>
        <v>48697.416409169862</v>
      </c>
      <c r="T395" s="165">
        <f t="shared" si="73"/>
        <v>425899.66218080948</v>
      </c>
      <c r="U395" s="165">
        <f t="shared" si="74"/>
        <v>229032.70505966339</v>
      </c>
      <c r="V395" s="165">
        <f t="shared" si="75"/>
        <v>26682.114618508418</v>
      </c>
      <c r="W395" s="165">
        <f t="shared" si="76"/>
        <v>148866.69899382128</v>
      </c>
      <c r="X395" s="166">
        <f t="shared" si="67"/>
        <v>377899.40405348467</v>
      </c>
    </row>
    <row r="396" spans="4:24">
      <c r="D396" s="9" t="s">
        <v>1202</v>
      </c>
      <c r="E396" s="9" t="s">
        <v>2718</v>
      </c>
      <c r="F396" s="4" t="s">
        <v>2722</v>
      </c>
      <c r="G396" s="9" t="s">
        <v>3486</v>
      </c>
      <c r="H396" s="164">
        <v>101050.20107447222</v>
      </c>
      <c r="I396" s="165">
        <v>20265.385543432938</v>
      </c>
      <c r="J396" s="165">
        <v>180826.79665605081</v>
      </c>
      <c r="K396" s="165">
        <v>47745.094884219674</v>
      </c>
      <c r="L396" s="177">
        <f t="shared" si="68"/>
        <v>281876.997730523</v>
      </c>
      <c r="M396" s="166">
        <f t="shared" si="69"/>
        <v>68010.480427652612</v>
      </c>
      <c r="N396" s="189">
        <f>INDEX('CHIRP Payment Calc'!AM:AM,MATCH(F396,'CHIRP Payment Calc'!C:C,0))</f>
        <v>1.83</v>
      </c>
      <c r="O396" s="189">
        <f>INDEX('CHIRP Payment Calc'!AL:AL,MATCH(FeeCalc!F396,'CHIRP Payment Calc'!C:C,0))</f>
        <v>0.96</v>
      </c>
      <c r="P396" s="164">
        <f t="shared" si="66"/>
        <v>581124.96705740364</v>
      </c>
      <c r="Q396" s="165">
        <f t="shared" si="70"/>
        <v>12468.601262661896</v>
      </c>
      <c r="R396" s="165">
        <f t="shared" si="71"/>
        <v>24047.765678899395</v>
      </c>
      <c r="S396" s="165">
        <f t="shared" si="72"/>
        <v>36516.366941561289</v>
      </c>
      <c r="T396" s="165">
        <f t="shared" si="73"/>
        <v>196203.57343902829</v>
      </c>
      <c r="U396" s="165">
        <f t="shared" si="74"/>
        <v>352035.14668146061</v>
      </c>
      <c r="V396" s="165">
        <f t="shared" si="75"/>
        <v>20641.665911613389</v>
      </c>
      <c r="W396" s="165">
        <f t="shared" si="76"/>
        <v>48760.947966862645</v>
      </c>
      <c r="X396" s="166">
        <f t="shared" si="67"/>
        <v>400796.09464832325</v>
      </c>
    </row>
    <row r="397" spans="4:24">
      <c r="D397" s="9" t="s">
        <v>1202</v>
      </c>
      <c r="E397" s="9" t="s">
        <v>2718</v>
      </c>
      <c r="F397" s="4" t="s">
        <v>3199</v>
      </c>
      <c r="G397" s="9" t="s">
        <v>3071</v>
      </c>
      <c r="H397" s="168">
        <v>300042.2032810761</v>
      </c>
      <c r="I397" s="169">
        <v>9994.2925973589554</v>
      </c>
      <c r="J397" s="169">
        <v>166384.1614759088</v>
      </c>
      <c r="K397" s="169">
        <v>7205.060751386819</v>
      </c>
      <c r="L397" s="169">
        <f t="shared" si="68"/>
        <v>466426.36475698487</v>
      </c>
      <c r="M397" s="176">
        <f t="shared" si="69"/>
        <v>17199.353348745775</v>
      </c>
      <c r="N397" s="188">
        <f>INDEX('CHIRP Payment Calc'!AM:AM,MATCH(F397,'CHIRP Payment Calc'!C:C,0))</f>
        <v>1.83</v>
      </c>
      <c r="O397" s="190">
        <f>INDEX('CHIRP Payment Calc'!AL:AL,MATCH(FeeCalc!F397,'CHIRP Payment Calc'!C:C,0))</f>
        <v>2.23</v>
      </c>
      <c r="P397" s="168">
        <f t="shared" si="66"/>
        <v>891914.80547298549</v>
      </c>
      <c r="Q397" s="169">
        <f t="shared" si="70"/>
        <v>34857.781441429805</v>
      </c>
      <c r="R397" s="169">
        <f t="shared" si="71"/>
        <v>20460.657509138666</v>
      </c>
      <c r="S397" s="169">
        <f t="shared" si="72"/>
        <v>55318.438950568467</v>
      </c>
      <c r="T397" s="169">
        <f t="shared" si="73"/>
        <v>582575.31247147941</v>
      </c>
      <c r="U397" s="169">
        <f t="shared" si="74"/>
        <v>323918.10159671609</v>
      </c>
      <c r="V397" s="169">
        <f t="shared" si="75"/>
        <v>23646.973466430209</v>
      </c>
      <c r="W397" s="169">
        <f t="shared" si="76"/>
        <v>17092.856888928305</v>
      </c>
      <c r="X397" s="176">
        <f t="shared" si="67"/>
        <v>341010.95848564443</v>
      </c>
    </row>
    <row r="398" spans="4:24">
      <c r="H398" s="170">
        <f t="shared" ref="H398:M398" si="77">SUM(H5:H397)</f>
        <v>1320454681.4624777</v>
      </c>
      <c r="I398" s="170">
        <f t="shared" si="77"/>
        <v>1981463251.3348305</v>
      </c>
      <c r="J398" s="170">
        <f t="shared" si="77"/>
        <v>335208914.88963085</v>
      </c>
      <c r="K398" s="170">
        <f t="shared" si="77"/>
        <v>656743671.9893595</v>
      </c>
      <c r="L398" s="170">
        <f t="shared" si="77"/>
        <v>1655663596.3521085</v>
      </c>
      <c r="M398" s="170">
        <f t="shared" si="77"/>
        <v>2638206923.3241887</v>
      </c>
      <c r="N398" s="171"/>
      <c r="O398" s="171"/>
      <c r="P398" s="170">
        <f>SUM(P5:P397)</f>
        <v>6128497516.4401865</v>
      </c>
      <c r="Q398" s="170">
        <f t="shared" ref="Q398:X398" si="78">SUM(Q5:Q397)</f>
        <v>275920764.86940569</v>
      </c>
      <c r="R398" s="170">
        <f t="shared" si="78"/>
        <v>102497635.12217894</v>
      </c>
      <c r="S398" s="170">
        <f t="shared" si="78"/>
        <v>378418399.99158484</v>
      </c>
      <c r="T398" s="170">
        <f t="shared" si="78"/>
        <v>1462189880.6955564</v>
      </c>
      <c r="U398" s="170">
        <f t="shared" si="78"/>
        <v>515633402.81911254</v>
      </c>
      <c r="V398" s="170">
        <f t="shared" si="78"/>
        <v>3336432117.0332351</v>
      </c>
      <c r="W398" s="170">
        <f t="shared" si="78"/>
        <v>1192660515.8838696</v>
      </c>
      <c r="X398" s="170">
        <f t="shared" si="78"/>
        <v>1793217629.7378085</v>
      </c>
    </row>
    <row r="407" spans="4:4">
      <c r="D407" s="1"/>
    </row>
  </sheetData>
  <mergeCells count="1">
    <mergeCell ref="J3:K3"/>
  </mergeCells>
  <conditionalFormatting sqref="F1:F1048576">
    <cfRule type="duplicateValues" dxfId="3" priority="1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4670A-179A-4EEA-BA65-9F0D9C26F153}">
  <sheetPr>
    <tabColor theme="9" tint="0.59999389629810485"/>
  </sheetPr>
  <dimension ref="A1:N435"/>
  <sheetViews>
    <sheetView zoomScale="80" zoomScaleNormal="80" workbookViewId="0">
      <selection activeCell="J6" sqref="J6"/>
    </sheetView>
  </sheetViews>
  <sheetFormatPr defaultColWidth="9.09765625" defaultRowHeight="15"/>
  <cols>
    <col min="1" max="1" width="11.296875" style="9" customWidth="1"/>
    <col min="2" max="2" width="9.8984375" style="9" bestFit="1" customWidth="1"/>
    <col min="3" max="3" width="13.69921875" style="9" customWidth="1"/>
    <col min="4" max="4" width="9.09765625" style="9"/>
    <col min="5" max="5" width="10.5" style="9" customWidth="1"/>
    <col min="6" max="6" width="24.59765625" style="7" customWidth="1"/>
    <col min="7" max="7" width="9.09765625" style="9"/>
    <col min="8" max="8" width="11.3984375" style="9" bestFit="1" customWidth="1"/>
    <col min="9" max="10" width="15.19921875" style="8" bestFit="1" customWidth="1"/>
    <col min="11" max="11" width="14.19921875" style="8" bestFit="1" customWidth="1"/>
    <col min="12" max="12" width="15.19921875" style="8" bestFit="1" customWidth="1"/>
    <col min="13" max="13" width="15.09765625" style="8" customWidth="1"/>
    <col min="14" max="14" width="15.19921875" style="8" bestFit="1" customWidth="1"/>
    <col min="15" max="16384" width="9.09765625" style="9"/>
  </cols>
  <sheetData>
    <row r="1" spans="1:14">
      <c r="H1" s="95" t="s">
        <v>3634</v>
      </c>
      <c r="I1" s="192">
        <f>(I2-I3)</f>
        <v>0</v>
      </c>
      <c r="J1" s="192">
        <f>J2-J3</f>
        <v>0</v>
      </c>
      <c r="K1" s="193">
        <f t="shared" ref="K1" si="0">K2-K3</f>
        <v>0</v>
      </c>
      <c r="L1" s="194"/>
      <c r="M1" s="194"/>
      <c r="N1" s="194"/>
    </row>
    <row r="2" spans="1:14">
      <c r="H2" s="24" t="s">
        <v>3635</v>
      </c>
      <c r="I2" s="195">
        <v>22072390138.079994</v>
      </c>
      <c r="J2" s="195">
        <v>2620390604.1578236</v>
      </c>
      <c r="K2" s="196">
        <v>319205040.99999976</v>
      </c>
      <c r="L2" s="194"/>
      <c r="M2" s="194"/>
      <c r="N2" s="194"/>
    </row>
    <row r="3" spans="1:14" ht="15.75" thickBot="1">
      <c r="H3" s="25"/>
      <c r="I3" s="197">
        <f>SUM(I7:I435)</f>
        <v>22072390138.079994</v>
      </c>
      <c r="J3" s="197">
        <f>SUM(J7:J435)</f>
        <v>2620390604.1578236</v>
      </c>
      <c r="K3" s="198">
        <f>SUM(K7:K435)</f>
        <v>319205041</v>
      </c>
      <c r="L3" s="199"/>
      <c r="M3" s="199"/>
      <c r="N3" s="199"/>
    </row>
    <row r="4" spans="1:14">
      <c r="I4" s="199"/>
      <c r="J4" s="199"/>
      <c r="K4" s="194"/>
      <c r="L4" s="199"/>
      <c r="M4" s="199"/>
      <c r="N4" s="199"/>
    </row>
    <row r="5" spans="1:14" ht="90">
      <c r="A5" s="141" t="s">
        <v>3291</v>
      </c>
      <c r="B5" s="142"/>
      <c r="C5" s="141" t="s">
        <v>3292</v>
      </c>
      <c r="D5" s="141" t="s">
        <v>3293</v>
      </c>
      <c r="E5" s="141" t="s">
        <v>3294</v>
      </c>
      <c r="F5" s="141" t="s">
        <v>3295</v>
      </c>
      <c r="G5" s="141" t="s">
        <v>3296</v>
      </c>
      <c r="H5" s="141" t="s">
        <v>3297</v>
      </c>
      <c r="I5" s="200" t="s">
        <v>3298</v>
      </c>
      <c r="J5" s="200" t="s">
        <v>3299</v>
      </c>
      <c r="K5" s="200" t="s">
        <v>3300</v>
      </c>
      <c r="L5" s="200" t="s">
        <v>3301</v>
      </c>
      <c r="M5" s="200" t="s">
        <v>3302</v>
      </c>
      <c r="N5" s="200" t="s">
        <v>3303</v>
      </c>
    </row>
    <row r="6" spans="1:14" ht="75">
      <c r="A6" s="142"/>
      <c r="B6" s="141" t="s">
        <v>0</v>
      </c>
      <c r="C6" s="141" t="s">
        <v>1</v>
      </c>
      <c r="D6" s="141" t="s">
        <v>2851</v>
      </c>
      <c r="E6" s="141" t="s">
        <v>2808</v>
      </c>
      <c r="F6" s="141" t="s">
        <v>2716</v>
      </c>
      <c r="G6" s="141" t="s">
        <v>3304</v>
      </c>
      <c r="H6" s="141" t="s">
        <v>3305</v>
      </c>
      <c r="I6" s="200" t="s">
        <v>2859</v>
      </c>
      <c r="J6" s="200" t="s">
        <v>3306</v>
      </c>
      <c r="K6" s="200" t="s">
        <v>3307</v>
      </c>
      <c r="L6" s="200" t="s">
        <v>3308</v>
      </c>
      <c r="M6" s="200" t="s">
        <v>3309</v>
      </c>
      <c r="N6" s="200" t="s">
        <v>3310</v>
      </c>
    </row>
    <row r="7" spans="1:14">
      <c r="B7" s="9" t="s">
        <v>4</v>
      </c>
      <c r="C7" s="9" t="s">
        <v>5</v>
      </c>
      <c r="D7" s="9" t="s">
        <v>2141</v>
      </c>
      <c r="E7" s="9" t="s">
        <v>4</v>
      </c>
      <c r="F7" s="7" t="s">
        <v>2140</v>
      </c>
      <c r="G7" s="9" t="s">
        <v>1582</v>
      </c>
      <c r="H7" s="9" t="s">
        <v>1581</v>
      </c>
      <c r="I7" s="8">
        <v>2375638.7599999998</v>
      </c>
      <c r="J7" s="8">
        <v>112696.7830882353</v>
      </c>
      <c r="K7" s="8">
        <v>0</v>
      </c>
      <c r="L7" s="8">
        <f>J7+K7</f>
        <v>112696.7830882353</v>
      </c>
      <c r="M7" s="8">
        <v>222359.79</v>
      </c>
      <c r="N7" s="8">
        <f>M7-L7</f>
        <v>109663.00691176471</v>
      </c>
    </row>
    <row r="8" spans="1:14" ht="45">
      <c r="B8" s="9" t="s">
        <v>7</v>
      </c>
      <c r="C8" s="9" t="s">
        <v>8</v>
      </c>
      <c r="D8" s="9" t="s">
        <v>2137</v>
      </c>
      <c r="E8" s="9" t="s">
        <v>7</v>
      </c>
      <c r="F8" s="7" t="s">
        <v>2273</v>
      </c>
      <c r="G8" s="9" t="s">
        <v>1582</v>
      </c>
      <c r="H8" s="9" t="s">
        <v>1581</v>
      </c>
      <c r="I8" s="8">
        <v>1351719.46</v>
      </c>
      <c r="J8" s="8">
        <v>141934.91249999998</v>
      </c>
      <c r="K8" s="8">
        <v>0</v>
      </c>
      <c r="L8" s="8">
        <f t="shared" ref="L8:L71" si="1">J8+K8</f>
        <v>141934.91249999998</v>
      </c>
      <c r="M8" s="8">
        <v>267099.77</v>
      </c>
      <c r="N8" s="8">
        <f t="shared" ref="N8:N71" si="2">M8-L8</f>
        <v>125164.85750000004</v>
      </c>
    </row>
    <row r="9" spans="1:14" ht="30">
      <c r="B9" s="9" t="s">
        <v>497</v>
      </c>
      <c r="C9" s="9" t="s">
        <v>498</v>
      </c>
      <c r="D9" s="9" t="s">
        <v>2136</v>
      </c>
      <c r="E9" s="9" t="s">
        <v>497</v>
      </c>
      <c r="F9" s="7" t="s">
        <v>2135</v>
      </c>
      <c r="G9" s="9" t="s">
        <v>1578</v>
      </c>
      <c r="H9" s="9" t="s">
        <v>1581</v>
      </c>
      <c r="I9" s="8">
        <v>1415996.09</v>
      </c>
      <c r="J9" s="8">
        <v>1085073.5772691546</v>
      </c>
      <c r="K9" s="8">
        <v>0</v>
      </c>
      <c r="L9" s="8">
        <f t="shared" si="1"/>
        <v>1085073.5772691546</v>
      </c>
      <c r="M9" s="8">
        <v>1101220.1599999999</v>
      </c>
      <c r="N9" s="8">
        <f t="shared" si="2"/>
        <v>16146.582730845315</v>
      </c>
    </row>
    <row r="10" spans="1:14">
      <c r="B10" s="9" t="s">
        <v>10</v>
      </c>
      <c r="C10" s="9" t="s">
        <v>11</v>
      </c>
      <c r="D10" s="9" t="s">
        <v>2134</v>
      </c>
      <c r="E10" s="9" t="s">
        <v>10</v>
      </c>
      <c r="F10" s="7" t="s">
        <v>2133</v>
      </c>
      <c r="G10" s="9" t="s">
        <v>1578</v>
      </c>
      <c r="H10" s="9" t="s">
        <v>1581</v>
      </c>
      <c r="I10" s="8">
        <v>84652.63</v>
      </c>
      <c r="J10" s="8">
        <v>35221.080073172634</v>
      </c>
      <c r="K10" s="8">
        <v>0</v>
      </c>
      <c r="L10" s="8">
        <f t="shared" si="1"/>
        <v>35221.080073172634</v>
      </c>
      <c r="M10" s="8">
        <v>61627.11</v>
      </c>
      <c r="N10" s="8">
        <f t="shared" si="2"/>
        <v>26406.029926827367</v>
      </c>
    </row>
    <row r="11" spans="1:14">
      <c r="B11" s="9" t="s">
        <v>983</v>
      </c>
      <c r="C11" s="9" t="s">
        <v>984</v>
      </c>
      <c r="D11" s="9" t="s">
        <v>1768</v>
      </c>
      <c r="E11" s="9" t="s">
        <v>983</v>
      </c>
      <c r="F11" s="7" t="s">
        <v>3636</v>
      </c>
      <c r="G11" s="9" t="s">
        <v>1582</v>
      </c>
      <c r="H11" s="9" t="s">
        <v>1581</v>
      </c>
      <c r="I11" s="8">
        <v>40211876.509999998</v>
      </c>
      <c r="J11" s="8">
        <v>5735240.4733727816</v>
      </c>
      <c r="K11" s="8">
        <v>0</v>
      </c>
      <c r="L11" s="8">
        <f t="shared" si="1"/>
        <v>5735240.4733727816</v>
      </c>
      <c r="M11" s="8">
        <v>11597105.18</v>
      </c>
      <c r="N11" s="8">
        <f t="shared" si="2"/>
        <v>5861864.7066272181</v>
      </c>
    </row>
    <row r="12" spans="1:14" ht="45">
      <c r="B12" s="9" t="s">
        <v>3070</v>
      </c>
      <c r="C12" s="9" t="s">
        <v>3199</v>
      </c>
      <c r="D12" s="9" t="s">
        <v>3268</v>
      </c>
      <c r="E12" s="9" t="s">
        <v>3070</v>
      </c>
      <c r="F12" s="7" t="s">
        <v>3637</v>
      </c>
      <c r="G12" s="9" t="s">
        <v>1582</v>
      </c>
      <c r="H12" s="9" t="s">
        <v>1581</v>
      </c>
      <c r="I12" s="8">
        <v>281975.96000000002</v>
      </c>
      <c r="J12" s="8">
        <v>10355.09</v>
      </c>
      <c r="K12" s="8">
        <v>0</v>
      </c>
      <c r="L12" s="8">
        <f t="shared" si="1"/>
        <v>10355.09</v>
      </c>
      <c r="M12" s="8">
        <v>60991.4</v>
      </c>
      <c r="N12" s="8">
        <f t="shared" si="2"/>
        <v>50636.31</v>
      </c>
    </row>
    <row r="13" spans="1:14" ht="30">
      <c r="B13" s="9" t="s">
        <v>1031</v>
      </c>
      <c r="C13" s="9" t="s">
        <v>1032</v>
      </c>
      <c r="D13" s="9" t="s">
        <v>1730</v>
      </c>
      <c r="E13" s="9" t="s">
        <v>1031</v>
      </c>
      <c r="F13" s="7" t="s">
        <v>3638</v>
      </c>
      <c r="G13" s="9" t="s">
        <v>1582</v>
      </c>
      <c r="H13" s="9" t="s">
        <v>1581</v>
      </c>
      <c r="I13" s="8">
        <v>56695969.740000002</v>
      </c>
      <c r="J13" s="8">
        <v>4023982.1835443033</v>
      </c>
      <c r="K13" s="8">
        <v>0</v>
      </c>
      <c r="L13" s="8">
        <f t="shared" si="1"/>
        <v>4023982.1835443033</v>
      </c>
      <c r="M13" s="8">
        <v>7591590.3499999996</v>
      </c>
      <c r="N13" s="8">
        <f t="shared" si="2"/>
        <v>3567608.1664556963</v>
      </c>
    </row>
    <row r="14" spans="1:14" ht="45">
      <c r="B14" s="9" t="s">
        <v>1727</v>
      </c>
      <c r="C14" s="9" t="s">
        <v>1729</v>
      </c>
      <c r="D14" s="9" t="s">
        <v>1728</v>
      </c>
      <c r="E14" s="9" t="s">
        <v>1727</v>
      </c>
      <c r="F14" s="7" t="s">
        <v>3639</v>
      </c>
      <c r="G14" s="9" t="s">
        <v>1582</v>
      </c>
      <c r="H14" s="9" t="s">
        <v>1581</v>
      </c>
      <c r="I14" s="8">
        <v>854960.2</v>
      </c>
      <c r="J14" s="8">
        <v>38277.018987341769</v>
      </c>
      <c r="K14" s="8">
        <v>0</v>
      </c>
      <c r="L14" s="8">
        <f t="shared" si="1"/>
        <v>38277.018987341769</v>
      </c>
      <c r="M14" s="8">
        <v>369855.78</v>
      </c>
      <c r="N14" s="8">
        <f t="shared" si="2"/>
        <v>331578.76101265824</v>
      </c>
    </row>
    <row r="15" spans="1:14" ht="45">
      <c r="B15" s="9" t="s">
        <v>389</v>
      </c>
      <c r="C15" s="9" t="s">
        <v>390</v>
      </c>
      <c r="D15" s="9" t="s">
        <v>1733</v>
      </c>
      <c r="E15" s="9" t="s">
        <v>389</v>
      </c>
      <c r="F15" s="7" t="s">
        <v>3640</v>
      </c>
      <c r="G15" s="9" t="s">
        <v>1582</v>
      </c>
      <c r="H15" s="9" t="s">
        <v>1581</v>
      </c>
      <c r="I15" s="8">
        <v>854482.14</v>
      </c>
      <c r="J15" s="8">
        <v>76185.778481012661</v>
      </c>
      <c r="K15" s="8">
        <v>0</v>
      </c>
      <c r="L15" s="8">
        <f t="shared" si="1"/>
        <v>76185.778481012661</v>
      </c>
      <c r="M15" s="8">
        <v>184824.49</v>
      </c>
      <c r="N15" s="8">
        <f t="shared" si="2"/>
        <v>108638.71151898733</v>
      </c>
    </row>
    <row r="16" spans="1:14">
      <c r="B16" s="9" t="s">
        <v>1402</v>
      </c>
      <c r="C16" s="9" t="s">
        <v>1403</v>
      </c>
      <c r="D16" s="9" t="s">
        <v>2129</v>
      </c>
      <c r="E16" s="9" t="s">
        <v>1402</v>
      </c>
      <c r="F16" s="7" t="s">
        <v>2128</v>
      </c>
      <c r="G16" s="9" t="s">
        <v>1582</v>
      </c>
      <c r="H16" s="9" t="s">
        <v>1581</v>
      </c>
      <c r="I16" s="8">
        <v>940478.76</v>
      </c>
      <c r="J16" s="8">
        <v>131059.32751091704</v>
      </c>
      <c r="K16" s="8">
        <v>0</v>
      </c>
      <c r="L16" s="8">
        <f t="shared" si="1"/>
        <v>131059.32751091704</v>
      </c>
      <c r="M16" s="8">
        <v>508610.92</v>
      </c>
      <c r="N16" s="8">
        <f t="shared" si="2"/>
        <v>377551.59248908295</v>
      </c>
    </row>
    <row r="17" spans="2:14" ht="45">
      <c r="B17" s="9" t="s">
        <v>16</v>
      </c>
      <c r="C17" s="9" t="s">
        <v>17</v>
      </c>
      <c r="D17" s="9" t="s">
        <v>2127</v>
      </c>
      <c r="E17" s="9" t="s">
        <v>16</v>
      </c>
      <c r="F17" s="7" t="s">
        <v>2403</v>
      </c>
      <c r="G17" s="9" t="s">
        <v>1582</v>
      </c>
      <c r="H17" s="9" t="s">
        <v>1581</v>
      </c>
      <c r="I17" s="8">
        <v>31668764.960000001</v>
      </c>
      <c r="J17" s="8">
        <v>2455704.4510869565</v>
      </c>
      <c r="K17" s="8">
        <v>0</v>
      </c>
      <c r="L17" s="8">
        <f t="shared" si="1"/>
        <v>2455704.4510869565</v>
      </c>
      <c r="M17" s="8">
        <v>6197577.2999999998</v>
      </c>
      <c r="N17" s="8">
        <f t="shared" si="2"/>
        <v>3741872.8489130433</v>
      </c>
    </row>
    <row r="18" spans="2:14" ht="30">
      <c r="B18" s="9" t="s">
        <v>19</v>
      </c>
      <c r="C18" s="9" t="s">
        <v>20</v>
      </c>
      <c r="D18" s="9" t="s">
        <v>2126</v>
      </c>
      <c r="E18" s="9" t="s">
        <v>19</v>
      </c>
      <c r="F18" s="7" t="s">
        <v>3641</v>
      </c>
      <c r="G18" s="9" t="s">
        <v>1582</v>
      </c>
      <c r="H18" s="9" t="s">
        <v>1581</v>
      </c>
      <c r="I18" s="8">
        <v>2069008.08</v>
      </c>
      <c r="J18" s="8">
        <v>33004.724264705888</v>
      </c>
      <c r="K18" s="8">
        <v>0</v>
      </c>
      <c r="L18" s="8">
        <f t="shared" si="1"/>
        <v>33004.724264705888</v>
      </c>
      <c r="M18" s="8">
        <v>417939.64</v>
      </c>
      <c r="N18" s="8">
        <f t="shared" si="2"/>
        <v>384934.91573529411</v>
      </c>
    </row>
    <row r="19" spans="2:14" ht="60">
      <c r="B19" s="9" t="s">
        <v>22</v>
      </c>
      <c r="C19" s="9" t="s">
        <v>23</v>
      </c>
      <c r="D19" s="9" t="s">
        <v>2125</v>
      </c>
      <c r="E19" s="9" t="s">
        <v>22</v>
      </c>
      <c r="F19" s="7" t="s">
        <v>2228</v>
      </c>
      <c r="G19" s="9" t="s">
        <v>1582</v>
      </c>
      <c r="H19" s="9" t="s">
        <v>1581</v>
      </c>
      <c r="I19" s="8">
        <v>191622.95</v>
      </c>
      <c r="J19" s="6">
        <v>0.01</v>
      </c>
      <c r="K19" s="8">
        <v>0</v>
      </c>
      <c r="L19" s="8">
        <f t="shared" si="1"/>
        <v>0.01</v>
      </c>
      <c r="M19" s="8">
        <v>30659.67</v>
      </c>
      <c r="N19" s="8">
        <f t="shared" si="2"/>
        <v>30659.66</v>
      </c>
    </row>
    <row r="20" spans="2:14" ht="60">
      <c r="B20" s="9" t="s">
        <v>500</v>
      </c>
      <c r="C20" s="9" t="s">
        <v>501</v>
      </c>
      <c r="D20" s="9" t="s">
        <v>2124</v>
      </c>
      <c r="E20" s="9" t="s">
        <v>500</v>
      </c>
      <c r="F20" s="7" t="s">
        <v>3642</v>
      </c>
      <c r="G20" s="9" t="s">
        <v>1578</v>
      </c>
      <c r="H20" s="9" t="s">
        <v>1577</v>
      </c>
      <c r="I20" s="8">
        <v>34673</v>
      </c>
      <c r="J20" s="8">
        <v>19003.531661161931</v>
      </c>
      <c r="K20" s="8">
        <v>0</v>
      </c>
      <c r="L20" s="8">
        <f t="shared" si="1"/>
        <v>19003.531661161931</v>
      </c>
      <c r="M20" s="8">
        <v>7704.34</v>
      </c>
      <c r="N20" s="8">
        <f t="shared" si="2"/>
        <v>-11299.191661161931</v>
      </c>
    </row>
    <row r="21" spans="2:14" ht="75">
      <c r="B21" s="9" t="s">
        <v>503</v>
      </c>
      <c r="C21" s="9" t="s">
        <v>504</v>
      </c>
      <c r="D21" s="9" t="s">
        <v>2122</v>
      </c>
      <c r="E21" s="9" t="s">
        <v>503</v>
      </c>
      <c r="F21" s="7" t="s">
        <v>2477</v>
      </c>
      <c r="G21" s="9" t="s">
        <v>1582</v>
      </c>
      <c r="H21" s="9" t="s">
        <v>1581</v>
      </c>
      <c r="I21" s="8">
        <v>88489418</v>
      </c>
      <c r="J21" s="8">
        <v>7891350.0786026213</v>
      </c>
      <c r="K21" s="8">
        <v>0</v>
      </c>
      <c r="L21" s="8">
        <f t="shared" si="1"/>
        <v>7891350.0786026213</v>
      </c>
      <c r="M21" s="8">
        <v>16246657.140000001</v>
      </c>
      <c r="N21" s="8">
        <f t="shared" si="2"/>
        <v>8355307.0613973793</v>
      </c>
    </row>
    <row r="22" spans="2:14" ht="45">
      <c r="B22" s="9" t="s">
        <v>506</v>
      </c>
      <c r="C22" s="9" t="s">
        <v>507</v>
      </c>
      <c r="D22" s="9" t="s">
        <v>2120</v>
      </c>
      <c r="E22" s="9" t="s">
        <v>506</v>
      </c>
      <c r="F22" s="7" t="s">
        <v>3643</v>
      </c>
      <c r="G22" s="9" t="s">
        <v>1582</v>
      </c>
      <c r="H22" s="9" t="s">
        <v>1581</v>
      </c>
      <c r="I22" s="8">
        <v>394400358.20999998</v>
      </c>
      <c r="J22" s="8">
        <v>22547635.419753082</v>
      </c>
      <c r="K22" s="8">
        <v>0</v>
      </c>
      <c r="L22" s="8">
        <f t="shared" si="1"/>
        <v>22547635.419753082</v>
      </c>
      <c r="M22" s="8">
        <v>40228836.539999999</v>
      </c>
      <c r="N22" s="8">
        <f t="shared" si="2"/>
        <v>17681201.120246917</v>
      </c>
    </row>
    <row r="23" spans="2:14" ht="75">
      <c r="B23" s="9" t="s">
        <v>509</v>
      </c>
      <c r="C23" s="9" t="s">
        <v>510</v>
      </c>
      <c r="D23" s="9" t="s">
        <v>2119</v>
      </c>
      <c r="E23" s="9" t="s">
        <v>509</v>
      </c>
      <c r="F23" s="7" t="s">
        <v>511</v>
      </c>
      <c r="G23" s="9" t="s">
        <v>1582</v>
      </c>
      <c r="H23" s="9" t="s">
        <v>1581</v>
      </c>
      <c r="I23" s="8">
        <v>118502167.45</v>
      </c>
      <c r="J23" s="8">
        <v>14831298.362500001</v>
      </c>
      <c r="K23" s="8">
        <v>0</v>
      </c>
      <c r="L23" s="8">
        <f t="shared" si="1"/>
        <v>14831298.362500001</v>
      </c>
      <c r="M23" s="8">
        <v>33512412.960000001</v>
      </c>
      <c r="N23" s="8">
        <f t="shared" si="2"/>
        <v>18681114.5975</v>
      </c>
    </row>
    <row r="24" spans="2:14" ht="45">
      <c r="B24" s="9" t="s">
        <v>512</v>
      </c>
      <c r="C24" s="9" t="s">
        <v>513</v>
      </c>
      <c r="D24" s="9" t="s">
        <v>2118</v>
      </c>
      <c r="E24" s="9" t="s">
        <v>512</v>
      </c>
      <c r="F24" s="7" t="s">
        <v>2342</v>
      </c>
      <c r="G24" s="9" t="s">
        <v>1578</v>
      </c>
      <c r="H24" s="9" t="s">
        <v>1581</v>
      </c>
      <c r="I24" s="8">
        <v>347785.84</v>
      </c>
      <c r="J24" s="8">
        <v>230998.26434967655</v>
      </c>
      <c r="K24" s="8">
        <v>0</v>
      </c>
      <c r="L24" s="8">
        <f t="shared" si="1"/>
        <v>230998.26434967655</v>
      </c>
      <c r="M24" s="8">
        <v>193438.48</v>
      </c>
      <c r="N24" s="8">
        <f t="shared" si="2"/>
        <v>-37559.784349676542</v>
      </c>
    </row>
    <row r="25" spans="2:14" ht="30">
      <c r="B25" s="9" t="s">
        <v>25</v>
      </c>
      <c r="C25" s="9" t="s">
        <v>26</v>
      </c>
      <c r="D25" s="9" t="s">
        <v>2117</v>
      </c>
      <c r="E25" s="9" t="s">
        <v>25</v>
      </c>
      <c r="F25" s="7" t="s">
        <v>2116</v>
      </c>
      <c r="G25" s="9" t="s">
        <v>1582</v>
      </c>
      <c r="H25" s="9" t="s">
        <v>1581</v>
      </c>
      <c r="I25" s="8">
        <v>4266588.49</v>
      </c>
      <c r="J25" s="8">
        <v>429765.60240963858</v>
      </c>
      <c r="K25" s="8">
        <v>0</v>
      </c>
      <c r="L25" s="8">
        <f t="shared" si="1"/>
        <v>429765.60240963858</v>
      </c>
      <c r="M25" s="8">
        <v>966808.95</v>
      </c>
      <c r="N25" s="8">
        <f t="shared" si="2"/>
        <v>537043.34759036137</v>
      </c>
    </row>
    <row r="26" spans="2:14" ht="75">
      <c r="B26" s="9" t="s">
        <v>34</v>
      </c>
      <c r="C26" s="9" t="s">
        <v>35</v>
      </c>
      <c r="D26" s="9" t="s">
        <v>2111</v>
      </c>
      <c r="E26" s="9" t="s">
        <v>34</v>
      </c>
      <c r="F26" s="7" t="s">
        <v>2665</v>
      </c>
      <c r="G26" s="9" t="s">
        <v>1582</v>
      </c>
      <c r="H26" s="9" t="s">
        <v>1581</v>
      </c>
      <c r="I26" s="8">
        <v>13672801.369999999</v>
      </c>
      <c r="J26" s="8">
        <v>1519055.2409638555</v>
      </c>
      <c r="K26" s="8">
        <v>0</v>
      </c>
      <c r="L26" s="8">
        <f t="shared" si="1"/>
        <v>1519055.2409638555</v>
      </c>
      <c r="M26" s="8">
        <v>3239086.65</v>
      </c>
      <c r="N26" s="8">
        <f t="shared" si="2"/>
        <v>1720031.4090361444</v>
      </c>
    </row>
    <row r="27" spans="2:14" ht="45">
      <c r="B27" s="9" t="s">
        <v>37</v>
      </c>
      <c r="C27" s="9" t="s">
        <v>38</v>
      </c>
      <c r="D27" s="9" t="s">
        <v>1674</v>
      </c>
      <c r="E27" s="9" t="s">
        <v>37</v>
      </c>
      <c r="F27" s="7" t="s">
        <v>3644</v>
      </c>
      <c r="G27" s="9" t="s">
        <v>1582</v>
      </c>
      <c r="H27" s="9" t="s">
        <v>1581</v>
      </c>
      <c r="I27" s="8">
        <v>3259988.5</v>
      </c>
      <c r="J27" s="8">
        <v>478234.38554216875</v>
      </c>
      <c r="K27" s="8">
        <v>0</v>
      </c>
      <c r="L27" s="8">
        <f t="shared" si="1"/>
        <v>478234.38554216875</v>
      </c>
      <c r="M27" s="8">
        <v>813693.13</v>
      </c>
      <c r="N27" s="8">
        <f t="shared" si="2"/>
        <v>335458.74445783126</v>
      </c>
    </row>
    <row r="28" spans="2:14" ht="75">
      <c r="B28" s="9" t="s">
        <v>2724</v>
      </c>
      <c r="C28" s="9" t="s">
        <v>2725</v>
      </c>
      <c r="D28" s="9" t="s">
        <v>2726</v>
      </c>
      <c r="E28" s="9" t="s">
        <v>2724</v>
      </c>
      <c r="F28" s="7" t="s">
        <v>3645</v>
      </c>
      <c r="G28" s="9" t="s">
        <v>1582</v>
      </c>
      <c r="H28" s="9" t="s">
        <v>1581</v>
      </c>
      <c r="I28" s="8">
        <v>576039.02</v>
      </c>
      <c r="J28" s="8">
        <v>98715.443797468353</v>
      </c>
      <c r="K28" s="8">
        <v>0</v>
      </c>
      <c r="L28" s="8">
        <f t="shared" si="1"/>
        <v>98715.443797468353</v>
      </c>
      <c r="M28" s="8">
        <v>270277.51</v>
      </c>
      <c r="N28" s="8">
        <f t="shared" si="2"/>
        <v>171562.06620253166</v>
      </c>
    </row>
    <row r="29" spans="2:14" ht="75">
      <c r="B29" s="9" t="s">
        <v>1473</v>
      </c>
      <c r="C29" s="9" t="s">
        <v>1474</v>
      </c>
      <c r="D29" s="9" t="s">
        <v>2727</v>
      </c>
      <c r="E29" s="9" t="s">
        <v>1473</v>
      </c>
      <c r="F29" s="7" t="s">
        <v>1475</v>
      </c>
      <c r="G29" s="9" t="s">
        <v>1582</v>
      </c>
      <c r="H29" s="9" t="s">
        <v>1581</v>
      </c>
      <c r="I29" s="8">
        <v>838254.09</v>
      </c>
      <c r="J29" s="8">
        <v>163709.98101265822</v>
      </c>
      <c r="K29" s="8">
        <v>0</v>
      </c>
      <c r="L29" s="8">
        <f t="shared" si="1"/>
        <v>163709.98101265822</v>
      </c>
      <c r="M29" s="8">
        <v>253990.99</v>
      </c>
      <c r="N29" s="8">
        <f t="shared" si="2"/>
        <v>90281.008987341775</v>
      </c>
    </row>
    <row r="30" spans="2:14" ht="45">
      <c r="B30" s="9" t="s">
        <v>935</v>
      </c>
      <c r="C30" s="9" t="s">
        <v>936</v>
      </c>
      <c r="D30" s="9" t="s">
        <v>2115</v>
      </c>
      <c r="E30" s="9" t="s">
        <v>935</v>
      </c>
      <c r="F30" s="7" t="s">
        <v>3646</v>
      </c>
      <c r="G30" s="9" t="s">
        <v>1582</v>
      </c>
      <c r="H30" s="9" t="s">
        <v>1581</v>
      </c>
      <c r="I30" s="8">
        <v>8202849.1100000003</v>
      </c>
      <c r="J30" s="8">
        <v>706603.48124999984</v>
      </c>
      <c r="K30" s="8">
        <v>0</v>
      </c>
      <c r="L30" s="8">
        <f t="shared" si="1"/>
        <v>706603.48124999984</v>
      </c>
      <c r="M30" s="8">
        <v>1858765.6</v>
      </c>
      <c r="N30" s="8">
        <f t="shared" si="2"/>
        <v>1152162.1187500004</v>
      </c>
    </row>
    <row r="31" spans="2:14" ht="30">
      <c r="B31" s="9" t="s">
        <v>31</v>
      </c>
      <c r="C31" s="9" t="s">
        <v>32</v>
      </c>
      <c r="D31" s="9" t="s">
        <v>2114</v>
      </c>
      <c r="E31" s="9" t="s">
        <v>31</v>
      </c>
      <c r="F31" s="7" t="s">
        <v>3647</v>
      </c>
      <c r="G31" s="9" t="s">
        <v>1582</v>
      </c>
      <c r="H31" s="9" t="s">
        <v>1581</v>
      </c>
      <c r="I31" s="8">
        <v>37249978.240000002</v>
      </c>
      <c r="J31" s="8">
        <v>4238175.6385542154</v>
      </c>
      <c r="K31" s="8">
        <v>0</v>
      </c>
      <c r="L31" s="8">
        <f t="shared" si="1"/>
        <v>4238175.6385542154</v>
      </c>
      <c r="M31" s="8">
        <v>12277592.83</v>
      </c>
      <c r="N31" s="8">
        <f t="shared" si="2"/>
        <v>8039417.1914457846</v>
      </c>
    </row>
    <row r="32" spans="2:14" ht="30">
      <c r="B32" s="9" t="s">
        <v>521</v>
      </c>
      <c r="C32" s="9" t="s">
        <v>522</v>
      </c>
      <c r="D32" s="9" t="s">
        <v>2110</v>
      </c>
      <c r="E32" s="9" t="s">
        <v>521</v>
      </c>
      <c r="F32" s="7" t="s">
        <v>3648</v>
      </c>
      <c r="G32" s="9" t="s">
        <v>1582</v>
      </c>
      <c r="H32" s="9" t="s">
        <v>1581</v>
      </c>
      <c r="I32" s="8">
        <v>2638455.89</v>
      </c>
      <c r="J32" s="8">
        <v>313479.45180722885</v>
      </c>
      <c r="K32" s="8">
        <v>0</v>
      </c>
      <c r="L32" s="8">
        <f t="shared" si="1"/>
        <v>313479.45180722885</v>
      </c>
      <c r="M32" s="8">
        <v>606844.85</v>
      </c>
      <c r="N32" s="8">
        <f t="shared" si="2"/>
        <v>293365.39819277113</v>
      </c>
    </row>
    <row r="33" spans="2:14" ht="45">
      <c r="B33" s="9" t="s">
        <v>518</v>
      </c>
      <c r="C33" s="9" t="s">
        <v>519</v>
      </c>
      <c r="D33" s="9" t="s">
        <v>2113</v>
      </c>
      <c r="E33" s="9" t="s">
        <v>518</v>
      </c>
      <c r="F33" s="7" t="s">
        <v>3649</v>
      </c>
      <c r="G33" s="9" t="s">
        <v>1582</v>
      </c>
      <c r="H33" s="9" t="s">
        <v>1581</v>
      </c>
      <c r="I33" s="8">
        <v>16509086.48</v>
      </c>
      <c r="J33" s="8">
        <v>2110393.5602409635</v>
      </c>
      <c r="K33" s="8">
        <v>0</v>
      </c>
      <c r="L33" s="8">
        <f t="shared" si="1"/>
        <v>2110393.5602409635</v>
      </c>
      <c r="M33" s="8">
        <v>3911002.59</v>
      </c>
      <c r="N33" s="8">
        <f t="shared" si="2"/>
        <v>1800609.0297590364</v>
      </c>
    </row>
    <row r="34" spans="2:14" ht="75">
      <c r="B34" s="9" t="s">
        <v>2721</v>
      </c>
      <c r="C34" s="9" t="s">
        <v>2722</v>
      </c>
      <c r="D34" s="9" t="s">
        <v>2723</v>
      </c>
      <c r="E34" s="9" t="s">
        <v>2721</v>
      </c>
      <c r="F34" s="7" t="s">
        <v>3650</v>
      </c>
      <c r="G34" s="9" t="s">
        <v>1582</v>
      </c>
      <c r="H34" s="9" t="s">
        <v>1581</v>
      </c>
      <c r="I34" s="8">
        <v>230837.67</v>
      </c>
      <c r="J34" s="8">
        <v>43071.295822784807</v>
      </c>
      <c r="K34" s="8">
        <v>0</v>
      </c>
      <c r="L34" s="8">
        <f t="shared" si="1"/>
        <v>43071.295822784807</v>
      </c>
      <c r="M34" s="8">
        <v>99260.2</v>
      </c>
      <c r="N34" s="8">
        <f t="shared" si="2"/>
        <v>56188.90417721519</v>
      </c>
    </row>
    <row r="35" spans="2:14" ht="30">
      <c r="B35" s="9" t="s">
        <v>524</v>
      </c>
      <c r="C35" s="9" t="s">
        <v>525</v>
      </c>
      <c r="D35" s="9" t="s">
        <v>2109</v>
      </c>
      <c r="E35" s="9" t="s">
        <v>524</v>
      </c>
      <c r="F35" s="7" t="s">
        <v>2108</v>
      </c>
      <c r="G35" s="9" t="s">
        <v>1582</v>
      </c>
      <c r="H35" s="9" t="s">
        <v>1581</v>
      </c>
      <c r="I35" s="8">
        <v>142976506.81</v>
      </c>
      <c r="J35" s="8">
        <v>25166630.921686739</v>
      </c>
      <c r="K35" s="8">
        <v>0</v>
      </c>
      <c r="L35" s="8">
        <f t="shared" si="1"/>
        <v>25166630.921686739</v>
      </c>
      <c r="M35" s="8">
        <v>51543030.700000003</v>
      </c>
      <c r="N35" s="8">
        <f t="shared" si="2"/>
        <v>26376399.778313264</v>
      </c>
    </row>
    <row r="36" spans="2:14" ht="60">
      <c r="B36" s="9" t="s">
        <v>3270</v>
      </c>
      <c r="C36" s="9" t="s">
        <v>3269</v>
      </c>
      <c r="D36" s="9" t="s">
        <v>2171</v>
      </c>
      <c r="E36" s="9" t="s">
        <v>3270</v>
      </c>
      <c r="F36" s="7" t="s">
        <v>3651</v>
      </c>
      <c r="G36" s="9" t="s">
        <v>1582</v>
      </c>
      <c r="H36" s="9" t="s">
        <v>1581</v>
      </c>
      <c r="I36" s="8">
        <v>111789.31</v>
      </c>
      <c r="J36" s="8">
        <v>14399.27272727273</v>
      </c>
      <c r="K36" s="8">
        <v>0</v>
      </c>
      <c r="L36" s="8">
        <f t="shared" si="1"/>
        <v>14399.27272727273</v>
      </c>
      <c r="M36" s="8">
        <v>3353.68</v>
      </c>
      <c r="N36" s="8">
        <f t="shared" si="2"/>
        <v>-11045.592727272729</v>
      </c>
    </row>
    <row r="37" spans="2:14" ht="30">
      <c r="B37" s="9" t="s">
        <v>530</v>
      </c>
      <c r="C37" s="9" t="s">
        <v>531</v>
      </c>
      <c r="D37" s="9" t="s">
        <v>2106</v>
      </c>
      <c r="E37" s="9" t="s">
        <v>530</v>
      </c>
      <c r="F37" s="7" t="s">
        <v>3652</v>
      </c>
      <c r="G37" s="9" t="s">
        <v>1578</v>
      </c>
      <c r="H37" s="9" t="s">
        <v>1581</v>
      </c>
      <c r="I37" s="8">
        <v>131490.74</v>
      </c>
      <c r="J37" s="8">
        <v>35085.108669989051</v>
      </c>
      <c r="K37" s="8">
        <v>0</v>
      </c>
      <c r="L37" s="8">
        <f t="shared" si="1"/>
        <v>35085.108669989051</v>
      </c>
      <c r="M37" s="8">
        <v>47402.41</v>
      </c>
      <c r="N37" s="8">
        <f t="shared" si="2"/>
        <v>12317.301330010952</v>
      </c>
    </row>
    <row r="38" spans="2:14" ht="45">
      <c r="B38" s="9" t="s">
        <v>1203</v>
      </c>
      <c r="C38" s="9" t="s">
        <v>1204</v>
      </c>
      <c r="D38" s="9" t="s">
        <v>2105</v>
      </c>
      <c r="E38" s="9" t="s">
        <v>1203</v>
      </c>
      <c r="F38" s="7" t="s">
        <v>2684</v>
      </c>
      <c r="G38" s="9" t="s">
        <v>1578</v>
      </c>
      <c r="H38" s="9" t="s">
        <v>1581</v>
      </c>
      <c r="I38" s="8">
        <v>279797811.13999999</v>
      </c>
      <c r="J38" s="8">
        <v>50235241.95000001</v>
      </c>
      <c r="K38" s="8">
        <v>44328813.380000003</v>
      </c>
      <c r="L38" s="8">
        <f t="shared" si="1"/>
        <v>94564055.330000013</v>
      </c>
      <c r="M38" s="8">
        <v>168774039.68000001</v>
      </c>
      <c r="N38" s="8">
        <f t="shared" si="2"/>
        <v>74209984.349999994</v>
      </c>
    </row>
    <row r="39" spans="2:14" ht="30">
      <c r="B39" s="9" t="s">
        <v>533</v>
      </c>
      <c r="C39" s="9" t="s">
        <v>534</v>
      </c>
      <c r="D39" s="9" t="s">
        <v>2104</v>
      </c>
      <c r="E39" s="9" t="s">
        <v>533</v>
      </c>
      <c r="F39" s="7" t="s">
        <v>2103</v>
      </c>
      <c r="G39" s="9" t="s">
        <v>1582</v>
      </c>
      <c r="H39" s="9" t="s">
        <v>1577</v>
      </c>
      <c r="I39" s="8">
        <v>2497193.37</v>
      </c>
      <c r="J39" s="8">
        <v>457459.40653602185</v>
      </c>
      <c r="K39" s="8">
        <v>0</v>
      </c>
      <c r="L39" s="8">
        <f t="shared" si="1"/>
        <v>457459.40653602185</v>
      </c>
      <c r="M39" s="8">
        <v>453989.76</v>
      </c>
      <c r="N39" s="8">
        <f t="shared" si="2"/>
        <v>-3469.6465360218426</v>
      </c>
    </row>
    <row r="40" spans="2:14" ht="45">
      <c r="B40" s="9" t="s">
        <v>1373</v>
      </c>
      <c r="C40" s="9" t="s">
        <v>1374</v>
      </c>
      <c r="D40" s="9" t="s">
        <v>2102</v>
      </c>
      <c r="E40" s="9" t="s">
        <v>1373</v>
      </c>
      <c r="F40" s="7" t="s">
        <v>2648</v>
      </c>
      <c r="G40" s="9" t="s">
        <v>1582</v>
      </c>
      <c r="H40" s="9" t="s">
        <v>1581</v>
      </c>
      <c r="I40" s="8">
        <v>480398.04</v>
      </c>
      <c r="J40" s="8">
        <v>31993.686746987951</v>
      </c>
      <c r="K40" s="8">
        <v>0</v>
      </c>
      <c r="L40" s="8">
        <f t="shared" si="1"/>
        <v>31993.686746987951</v>
      </c>
      <c r="M40" s="8">
        <v>272145.49</v>
      </c>
      <c r="N40" s="8">
        <f t="shared" si="2"/>
        <v>240151.80325301204</v>
      </c>
    </row>
    <row r="41" spans="2:14" ht="45">
      <c r="B41" s="9" t="s">
        <v>40</v>
      </c>
      <c r="C41" s="9" t="s">
        <v>41</v>
      </c>
      <c r="D41" s="9" t="s">
        <v>1972</v>
      </c>
      <c r="E41" s="9" t="s">
        <v>40</v>
      </c>
      <c r="F41" s="7" t="s">
        <v>3159</v>
      </c>
      <c r="G41" s="9" t="s">
        <v>1578</v>
      </c>
      <c r="H41" s="9" t="s">
        <v>1577</v>
      </c>
      <c r="I41" s="8">
        <v>939697.85</v>
      </c>
      <c r="J41" s="8">
        <v>403670.93385936448</v>
      </c>
      <c r="K41" s="8">
        <v>0</v>
      </c>
      <c r="L41" s="8">
        <f t="shared" si="1"/>
        <v>403670.93385936448</v>
      </c>
      <c r="M41" s="8">
        <v>290366.64</v>
      </c>
      <c r="N41" s="8">
        <f t="shared" si="2"/>
        <v>-113304.29385936446</v>
      </c>
    </row>
    <row r="42" spans="2:14" ht="75">
      <c r="B42" s="9" t="s">
        <v>43</v>
      </c>
      <c r="C42" s="9" t="s">
        <v>44</v>
      </c>
      <c r="D42" s="9" t="s">
        <v>2182</v>
      </c>
      <c r="E42" s="9" t="s">
        <v>43</v>
      </c>
      <c r="F42" s="7" t="s">
        <v>2435</v>
      </c>
      <c r="G42" s="9" t="s">
        <v>1582</v>
      </c>
      <c r="H42" s="9" t="s">
        <v>1581</v>
      </c>
      <c r="I42" s="8">
        <v>82066.69</v>
      </c>
      <c r="J42" s="6">
        <v>0.01</v>
      </c>
      <c r="K42" s="8">
        <v>0</v>
      </c>
      <c r="L42" s="8">
        <f t="shared" si="1"/>
        <v>0.01</v>
      </c>
      <c r="M42" s="8">
        <v>21337.34</v>
      </c>
      <c r="N42" s="8">
        <f t="shared" si="2"/>
        <v>21337.33</v>
      </c>
    </row>
    <row r="43" spans="2:14" ht="45">
      <c r="B43" s="9" t="s">
        <v>536</v>
      </c>
      <c r="C43" s="9" t="s">
        <v>537</v>
      </c>
      <c r="D43" s="9" t="s">
        <v>2101</v>
      </c>
      <c r="E43" s="9" t="s">
        <v>536</v>
      </c>
      <c r="F43" s="7" t="s">
        <v>2410</v>
      </c>
      <c r="G43" s="9" t="s">
        <v>1582</v>
      </c>
      <c r="H43" s="9" t="s">
        <v>1581</v>
      </c>
      <c r="I43" s="8">
        <v>16884990.550000001</v>
      </c>
      <c r="J43" s="8">
        <v>1483571.1739130435</v>
      </c>
      <c r="K43" s="8">
        <v>0</v>
      </c>
      <c r="L43" s="8">
        <f t="shared" si="1"/>
        <v>1483571.1739130435</v>
      </c>
      <c r="M43" s="8">
        <v>3376998.11</v>
      </c>
      <c r="N43" s="8">
        <f t="shared" si="2"/>
        <v>1893426.9360869564</v>
      </c>
    </row>
    <row r="44" spans="2:14" ht="45">
      <c r="B44" s="9" t="s">
        <v>46</v>
      </c>
      <c r="C44" s="9" t="s">
        <v>47</v>
      </c>
      <c r="D44" s="9" t="s">
        <v>2121</v>
      </c>
      <c r="E44" s="9" t="s">
        <v>46</v>
      </c>
      <c r="F44" s="7" t="s">
        <v>2459</v>
      </c>
      <c r="G44" s="9" t="s">
        <v>1582</v>
      </c>
      <c r="H44" s="9" t="s">
        <v>1581</v>
      </c>
      <c r="I44" s="8">
        <v>58408394.75</v>
      </c>
      <c r="J44" s="8">
        <v>6436043.0812499989</v>
      </c>
      <c r="K44" s="8">
        <v>0</v>
      </c>
      <c r="L44" s="8">
        <f t="shared" si="1"/>
        <v>6436043.0812499989</v>
      </c>
      <c r="M44" s="8">
        <v>10513511.060000001</v>
      </c>
      <c r="N44" s="8">
        <f t="shared" si="2"/>
        <v>4077467.9787500016</v>
      </c>
    </row>
    <row r="45" spans="2:14" ht="45">
      <c r="B45" s="9" t="s">
        <v>542</v>
      </c>
      <c r="C45" s="9" t="s">
        <v>543</v>
      </c>
      <c r="D45" s="9" t="s">
        <v>2098</v>
      </c>
      <c r="E45" s="9" t="s">
        <v>542</v>
      </c>
      <c r="F45" s="7" t="s">
        <v>2424</v>
      </c>
      <c r="G45" s="9" t="s">
        <v>1582</v>
      </c>
      <c r="H45" s="9" t="s">
        <v>1577</v>
      </c>
      <c r="I45" s="8">
        <v>210015.28</v>
      </c>
      <c r="J45" s="8">
        <v>49029.974405913461</v>
      </c>
      <c r="K45" s="8">
        <v>0</v>
      </c>
      <c r="L45" s="8">
        <f t="shared" si="1"/>
        <v>49029.974405913461</v>
      </c>
      <c r="M45" s="8">
        <v>23794.73</v>
      </c>
      <c r="N45" s="8">
        <f t="shared" si="2"/>
        <v>-25235.244405913461</v>
      </c>
    </row>
    <row r="46" spans="2:14" ht="30">
      <c r="B46" s="9" t="s">
        <v>545</v>
      </c>
      <c r="C46" s="9" t="s">
        <v>546</v>
      </c>
      <c r="D46" s="9" t="s">
        <v>2097</v>
      </c>
      <c r="E46" s="9" t="s">
        <v>545</v>
      </c>
      <c r="F46" s="7" t="s">
        <v>2429</v>
      </c>
      <c r="G46" s="9" t="s">
        <v>1582</v>
      </c>
      <c r="H46" s="9" t="s">
        <v>1577</v>
      </c>
      <c r="I46" s="8">
        <v>99295.2</v>
      </c>
      <c r="J46" s="8">
        <v>61413.041341976161</v>
      </c>
      <c r="K46" s="8">
        <v>0</v>
      </c>
      <c r="L46" s="8">
        <f t="shared" si="1"/>
        <v>61413.041341976161</v>
      </c>
      <c r="M46" s="8">
        <v>105252.91</v>
      </c>
      <c r="N46" s="8">
        <f t="shared" si="2"/>
        <v>43839.868658023843</v>
      </c>
    </row>
    <row r="47" spans="2:14" ht="45">
      <c r="B47" s="9" t="s">
        <v>49</v>
      </c>
      <c r="C47" s="9" t="s">
        <v>50</v>
      </c>
      <c r="D47" s="9" t="s">
        <v>2007</v>
      </c>
      <c r="E47" s="9" t="s">
        <v>49</v>
      </c>
      <c r="F47" s="7" t="s">
        <v>2387</v>
      </c>
      <c r="G47" s="9" t="s">
        <v>1582</v>
      </c>
      <c r="H47" s="9" t="s">
        <v>1581</v>
      </c>
      <c r="I47" s="8">
        <v>1205473.43</v>
      </c>
      <c r="J47" s="8">
        <v>281178.46803567192</v>
      </c>
      <c r="K47" s="8">
        <v>0</v>
      </c>
      <c r="L47" s="8">
        <f t="shared" si="1"/>
        <v>281178.46803567192</v>
      </c>
      <c r="M47" s="8">
        <v>184437.43</v>
      </c>
      <c r="N47" s="8">
        <f t="shared" si="2"/>
        <v>-96741.038035671925</v>
      </c>
    </row>
    <row r="48" spans="2:14" ht="45">
      <c r="B48" s="9" t="s">
        <v>548</v>
      </c>
      <c r="C48" s="9" t="s">
        <v>549</v>
      </c>
      <c r="D48" s="9" t="s">
        <v>2096</v>
      </c>
      <c r="E48" s="9" t="s">
        <v>548</v>
      </c>
      <c r="F48" s="7" t="s">
        <v>2348</v>
      </c>
      <c r="G48" s="9" t="s">
        <v>1578</v>
      </c>
      <c r="H48" s="9" t="s">
        <v>1577</v>
      </c>
      <c r="I48" s="8">
        <v>72015.179999999993</v>
      </c>
      <c r="J48" s="8">
        <v>85529.722070829404</v>
      </c>
      <c r="K48" s="8">
        <v>0</v>
      </c>
      <c r="L48" s="8">
        <f t="shared" si="1"/>
        <v>85529.722070829404</v>
      </c>
      <c r="M48" s="8">
        <v>72007.98</v>
      </c>
      <c r="N48" s="8">
        <f t="shared" si="2"/>
        <v>-13521.742070829408</v>
      </c>
    </row>
    <row r="49" spans="2:14">
      <c r="B49" s="9" t="s">
        <v>551</v>
      </c>
      <c r="C49" s="9" t="s">
        <v>552</v>
      </c>
      <c r="D49" s="9" t="s">
        <v>2095</v>
      </c>
      <c r="E49" s="9" t="s">
        <v>551</v>
      </c>
      <c r="F49" s="7" t="s">
        <v>2313</v>
      </c>
      <c r="G49" s="9" t="s">
        <v>1582</v>
      </c>
      <c r="H49" s="9" t="s">
        <v>1581</v>
      </c>
      <c r="I49" s="8">
        <v>314062.90000000002</v>
      </c>
      <c r="J49" s="8">
        <v>37916.635802469129</v>
      </c>
      <c r="K49" s="8">
        <v>0</v>
      </c>
      <c r="L49" s="8">
        <f t="shared" si="1"/>
        <v>37916.635802469129</v>
      </c>
      <c r="M49" s="8">
        <v>56531.32</v>
      </c>
      <c r="N49" s="8">
        <f t="shared" si="2"/>
        <v>18614.684197530871</v>
      </c>
    </row>
    <row r="50" spans="2:14" ht="45">
      <c r="B50" s="9" t="s">
        <v>554</v>
      </c>
      <c r="C50" s="9" t="s">
        <v>555</v>
      </c>
      <c r="D50" s="9" t="s">
        <v>2094</v>
      </c>
      <c r="E50" s="9" t="s">
        <v>554</v>
      </c>
      <c r="F50" s="7" t="s">
        <v>3653</v>
      </c>
      <c r="G50" s="9" t="s">
        <v>1582</v>
      </c>
      <c r="H50" s="9" t="s">
        <v>1581</v>
      </c>
      <c r="I50" s="8">
        <v>26094869.949999999</v>
      </c>
      <c r="J50" s="8">
        <v>1909203.2025316455</v>
      </c>
      <c r="K50" s="8">
        <v>0</v>
      </c>
      <c r="L50" s="8">
        <f t="shared" si="1"/>
        <v>1909203.2025316455</v>
      </c>
      <c r="M50" s="8">
        <v>3426256.42</v>
      </c>
      <c r="N50" s="8">
        <f t="shared" si="2"/>
        <v>1517053.2174683544</v>
      </c>
    </row>
    <row r="51" spans="2:14" ht="60">
      <c r="B51" s="9" t="s">
        <v>1379</v>
      </c>
      <c r="C51" s="9" t="s">
        <v>1380</v>
      </c>
      <c r="D51" s="9" t="s">
        <v>2092</v>
      </c>
      <c r="E51" s="9" t="s">
        <v>1379</v>
      </c>
      <c r="F51" s="7" t="s">
        <v>2220</v>
      </c>
      <c r="G51" s="9" t="s">
        <v>1582</v>
      </c>
      <c r="H51" s="9" t="s">
        <v>1581</v>
      </c>
      <c r="I51" s="8">
        <v>383167.85</v>
      </c>
      <c r="J51" s="8">
        <v>182934.27848101262</v>
      </c>
      <c r="K51" s="8">
        <v>0</v>
      </c>
      <c r="L51" s="8">
        <f t="shared" si="1"/>
        <v>182934.27848101262</v>
      </c>
      <c r="M51" s="8">
        <v>386539.72</v>
      </c>
      <c r="N51" s="8">
        <f t="shared" si="2"/>
        <v>203605.44151898735</v>
      </c>
    </row>
    <row r="52" spans="2:14" ht="60">
      <c r="B52" s="9" t="s">
        <v>527</v>
      </c>
      <c r="C52" s="9" t="s">
        <v>528</v>
      </c>
      <c r="D52" s="9" t="s">
        <v>2107</v>
      </c>
      <c r="E52" s="9" t="s">
        <v>527</v>
      </c>
      <c r="F52" s="7" t="s">
        <v>3654</v>
      </c>
      <c r="G52" s="9" t="s">
        <v>1578</v>
      </c>
      <c r="H52" s="9" t="s">
        <v>1577</v>
      </c>
      <c r="I52" s="8">
        <v>85931.47</v>
      </c>
      <c r="J52" s="8">
        <v>71604.078712242888</v>
      </c>
      <c r="K52" s="8">
        <v>0</v>
      </c>
      <c r="L52" s="8">
        <f t="shared" si="1"/>
        <v>71604.078712242888</v>
      </c>
      <c r="M52" s="8">
        <v>114563.84</v>
      </c>
      <c r="N52" s="8">
        <f t="shared" si="2"/>
        <v>42959.761287757108</v>
      </c>
    </row>
    <row r="53" spans="2:14" ht="45">
      <c r="B53" s="9" t="s">
        <v>557</v>
      </c>
      <c r="C53" s="9" t="s">
        <v>558</v>
      </c>
      <c r="D53" s="9" t="s">
        <v>2091</v>
      </c>
      <c r="E53" s="9" t="s">
        <v>557</v>
      </c>
      <c r="F53" s="7" t="s">
        <v>2554</v>
      </c>
      <c r="G53" s="9" t="s">
        <v>1582</v>
      </c>
      <c r="H53" s="9" t="s">
        <v>1581</v>
      </c>
      <c r="I53" s="8">
        <v>198710023.05000001</v>
      </c>
      <c r="J53" s="8">
        <v>11485421.742647059</v>
      </c>
      <c r="K53" s="8">
        <v>0</v>
      </c>
      <c r="L53" s="8">
        <f t="shared" si="1"/>
        <v>11485421.742647059</v>
      </c>
      <c r="M53" s="8">
        <v>29806503.460000001</v>
      </c>
      <c r="N53" s="8">
        <f t="shared" si="2"/>
        <v>18321081.717352942</v>
      </c>
    </row>
    <row r="54" spans="2:14" ht="45">
      <c r="B54" s="9" t="s">
        <v>560</v>
      </c>
      <c r="C54" s="9" t="s">
        <v>561</v>
      </c>
      <c r="D54" s="9" t="s">
        <v>2090</v>
      </c>
      <c r="E54" s="9" t="s">
        <v>560</v>
      </c>
      <c r="F54" s="7" t="s">
        <v>2569</v>
      </c>
      <c r="G54" s="9" t="s">
        <v>1582</v>
      </c>
      <c r="H54" s="9" t="s">
        <v>1581</v>
      </c>
      <c r="I54" s="8">
        <v>389032482.99000001</v>
      </c>
      <c r="J54" s="8">
        <v>19362868.518382356</v>
      </c>
      <c r="K54" s="8">
        <v>0</v>
      </c>
      <c r="L54" s="8">
        <f t="shared" si="1"/>
        <v>19362868.518382356</v>
      </c>
      <c r="M54" s="8">
        <v>38903248.299999997</v>
      </c>
      <c r="N54" s="8">
        <f t="shared" si="2"/>
        <v>19540379.781617641</v>
      </c>
    </row>
    <row r="55" spans="2:14" ht="45">
      <c r="B55" s="9" t="s">
        <v>563</v>
      </c>
      <c r="C55" s="9" t="s">
        <v>564</v>
      </c>
      <c r="D55" s="9" t="s">
        <v>2089</v>
      </c>
      <c r="E55" s="9" t="s">
        <v>563</v>
      </c>
      <c r="F55" s="7" t="s">
        <v>2505</v>
      </c>
      <c r="G55" s="9" t="s">
        <v>1582</v>
      </c>
      <c r="H55" s="9" t="s">
        <v>1581</v>
      </c>
      <c r="I55" s="8">
        <v>117177425</v>
      </c>
      <c r="J55" s="8">
        <v>6937318.0183823537</v>
      </c>
      <c r="K55" s="8">
        <v>0</v>
      </c>
      <c r="L55" s="8">
        <f t="shared" si="1"/>
        <v>6937318.0183823537</v>
      </c>
      <c r="M55" s="8">
        <v>15233065.25</v>
      </c>
      <c r="N55" s="8">
        <f t="shared" si="2"/>
        <v>8295747.2316176463</v>
      </c>
    </row>
    <row r="56" spans="2:14" ht="45">
      <c r="B56" s="9" t="s">
        <v>566</v>
      </c>
      <c r="C56" s="9" t="s">
        <v>567</v>
      </c>
      <c r="D56" s="9" t="s">
        <v>2088</v>
      </c>
      <c r="E56" s="9" t="s">
        <v>566</v>
      </c>
      <c r="F56" s="7" t="s">
        <v>3655</v>
      </c>
      <c r="G56" s="9" t="s">
        <v>1582</v>
      </c>
      <c r="H56" s="9" t="s">
        <v>1581</v>
      </c>
      <c r="I56" s="8">
        <v>31751664.690000001</v>
      </c>
      <c r="J56" s="8">
        <v>1487491.8676470588</v>
      </c>
      <c r="K56" s="8">
        <v>0</v>
      </c>
      <c r="L56" s="8">
        <f t="shared" si="1"/>
        <v>1487491.8676470588</v>
      </c>
      <c r="M56" s="8">
        <v>3632390.44</v>
      </c>
      <c r="N56" s="8">
        <f t="shared" si="2"/>
        <v>2144898.5723529411</v>
      </c>
    </row>
    <row r="57" spans="2:14" ht="45">
      <c r="B57" s="9" t="s">
        <v>569</v>
      </c>
      <c r="C57" s="9" t="s">
        <v>570</v>
      </c>
      <c r="D57" s="9" t="s">
        <v>2087</v>
      </c>
      <c r="E57" s="9" t="s">
        <v>569</v>
      </c>
      <c r="F57" s="7" t="s">
        <v>2543</v>
      </c>
      <c r="G57" s="9" t="s">
        <v>1582</v>
      </c>
      <c r="H57" s="9" t="s">
        <v>1581</v>
      </c>
      <c r="I57" s="8">
        <v>123786627.7</v>
      </c>
      <c r="J57" s="8">
        <v>7556161.6323529426</v>
      </c>
      <c r="K57" s="8">
        <v>0</v>
      </c>
      <c r="L57" s="8">
        <f t="shared" si="1"/>
        <v>7556161.6323529426</v>
      </c>
      <c r="M57" s="8">
        <v>22281592.989999998</v>
      </c>
      <c r="N57" s="8">
        <f t="shared" si="2"/>
        <v>14725431.357647056</v>
      </c>
    </row>
    <row r="58" spans="2:14" ht="45">
      <c r="B58" s="9" t="s">
        <v>572</v>
      </c>
      <c r="C58" s="9" t="s">
        <v>573</v>
      </c>
      <c r="D58" s="9" t="s">
        <v>2086</v>
      </c>
      <c r="E58" s="9" t="s">
        <v>572</v>
      </c>
      <c r="F58" s="7" t="s">
        <v>2574</v>
      </c>
      <c r="G58" s="9" t="s">
        <v>1582</v>
      </c>
      <c r="H58" s="9" t="s">
        <v>1581</v>
      </c>
      <c r="I58" s="8">
        <v>698523611.52999997</v>
      </c>
      <c r="J58" s="8">
        <v>33023826.621323533</v>
      </c>
      <c r="K58" s="8">
        <v>0</v>
      </c>
      <c r="L58" s="8">
        <f t="shared" si="1"/>
        <v>33023826.621323533</v>
      </c>
      <c r="M58" s="8">
        <v>261527240.16</v>
      </c>
      <c r="N58" s="8">
        <f t="shared" si="2"/>
        <v>228503413.53867647</v>
      </c>
    </row>
    <row r="59" spans="2:14" ht="45">
      <c r="B59" s="9" t="s">
        <v>52</v>
      </c>
      <c r="C59" s="9" t="s">
        <v>53</v>
      </c>
      <c r="D59" s="9" t="s">
        <v>2085</v>
      </c>
      <c r="E59" s="9" t="s">
        <v>52</v>
      </c>
      <c r="F59" s="7" t="s">
        <v>2210</v>
      </c>
      <c r="G59" s="9" t="s">
        <v>1582</v>
      </c>
      <c r="H59" s="9" t="s">
        <v>1581</v>
      </c>
      <c r="I59" s="8">
        <v>182866.5</v>
      </c>
      <c r="J59" s="6">
        <v>0.01</v>
      </c>
      <c r="K59" s="8">
        <v>0</v>
      </c>
      <c r="L59" s="8">
        <f t="shared" si="1"/>
        <v>0.01</v>
      </c>
      <c r="M59" s="8">
        <v>35439.53</v>
      </c>
      <c r="N59" s="8">
        <f t="shared" si="2"/>
        <v>35439.519999999997</v>
      </c>
    </row>
    <row r="60" spans="2:14" ht="45">
      <c r="B60" s="9" t="s">
        <v>575</v>
      </c>
      <c r="C60" s="9" t="s">
        <v>576</v>
      </c>
      <c r="D60" s="9" t="s">
        <v>2084</v>
      </c>
      <c r="E60" s="9" t="s">
        <v>575</v>
      </c>
      <c r="F60" s="7" t="s">
        <v>2567</v>
      </c>
      <c r="G60" s="9" t="s">
        <v>1582</v>
      </c>
      <c r="H60" s="9" t="s">
        <v>1581</v>
      </c>
      <c r="I60" s="8">
        <v>446140.08</v>
      </c>
      <c r="J60" s="6">
        <v>0.01</v>
      </c>
      <c r="K60" s="8">
        <v>0</v>
      </c>
      <c r="L60" s="8">
        <f t="shared" si="1"/>
        <v>0.01</v>
      </c>
      <c r="M60" s="8">
        <v>72810.06</v>
      </c>
      <c r="N60" s="8">
        <f t="shared" si="2"/>
        <v>72810.05</v>
      </c>
    </row>
    <row r="61" spans="2:14" ht="60">
      <c r="B61" s="9" t="s">
        <v>578</v>
      </c>
      <c r="C61" s="9" t="s">
        <v>579</v>
      </c>
      <c r="D61" s="9" t="s">
        <v>2083</v>
      </c>
      <c r="E61" s="9" t="s">
        <v>578</v>
      </c>
      <c r="F61" s="7" t="s">
        <v>3656</v>
      </c>
      <c r="G61" s="9" t="s">
        <v>1582</v>
      </c>
      <c r="H61" s="9" t="s">
        <v>1581</v>
      </c>
      <c r="I61" s="8">
        <v>816974.31</v>
      </c>
      <c r="J61" s="6">
        <v>0.01</v>
      </c>
      <c r="K61" s="8">
        <v>0</v>
      </c>
      <c r="L61" s="8">
        <f t="shared" si="1"/>
        <v>0.01</v>
      </c>
      <c r="M61" s="8">
        <v>149996.49</v>
      </c>
      <c r="N61" s="8">
        <f t="shared" si="2"/>
        <v>149996.47999999998</v>
      </c>
    </row>
    <row r="62" spans="2:14" ht="45">
      <c r="B62" s="9" t="s">
        <v>1041</v>
      </c>
      <c r="C62" s="9" t="s">
        <v>1042</v>
      </c>
      <c r="D62" s="9" t="s">
        <v>2082</v>
      </c>
      <c r="E62" s="9" t="s">
        <v>1041</v>
      </c>
      <c r="F62" s="7" t="s">
        <v>1043</v>
      </c>
      <c r="G62" s="9" t="s">
        <v>1582</v>
      </c>
      <c r="H62" s="9" t="s">
        <v>1581</v>
      </c>
      <c r="I62" s="8">
        <v>167808001.5</v>
      </c>
      <c r="J62" s="8">
        <v>14229672.632352944</v>
      </c>
      <c r="K62" s="8">
        <v>0</v>
      </c>
      <c r="L62" s="8">
        <f t="shared" si="1"/>
        <v>14229672.632352944</v>
      </c>
      <c r="M62" s="8">
        <v>44938982.799999997</v>
      </c>
      <c r="N62" s="8">
        <f t="shared" si="2"/>
        <v>30709310.167647053</v>
      </c>
    </row>
    <row r="63" spans="2:14" ht="60">
      <c r="B63" s="9" t="s">
        <v>55</v>
      </c>
      <c r="C63" s="9" t="s">
        <v>56</v>
      </c>
      <c r="D63" s="9" t="s">
        <v>2081</v>
      </c>
      <c r="E63" s="9" t="s">
        <v>55</v>
      </c>
      <c r="F63" s="7" t="s">
        <v>3657</v>
      </c>
      <c r="G63" s="9" t="s">
        <v>1582</v>
      </c>
      <c r="H63" s="9" t="s">
        <v>1581</v>
      </c>
      <c r="I63" s="8">
        <v>610481167.24000001</v>
      </c>
      <c r="J63" s="8">
        <v>151024749.95104897</v>
      </c>
      <c r="K63" s="8">
        <v>0</v>
      </c>
      <c r="L63" s="8">
        <f t="shared" si="1"/>
        <v>151024749.95104897</v>
      </c>
      <c r="M63" s="8">
        <v>438081285.62</v>
      </c>
      <c r="N63" s="8">
        <f t="shared" si="2"/>
        <v>287056535.66895103</v>
      </c>
    </row>
    <row r="64" spans="2:14" ht="60">
      <c r="B64" s="9" t="s">
        <v>58</v>
      </c>
      <c r="C64" s="9" t="s">
        <v>59</v>
      </c>
      <c r="D64" s="9" t="s">
        <v>2080</v>
      </c>
      <c r="E64" s="9" t="s">
        <v>58</v>
      </c>
      <c r="F64" s="7" t="s">
        <v>3658</v>
      </c>
      <c r="G64" s="9" t="s">
        <v>1582</v>
      </c>
      <c r="H64" s="9" t="s">
        <v>1581</v>
      </c>
      <c r="I64" s="8">
        <v>32179742.09</v>
      </c>
      <c r="J64" s="8">
        <v>9674609.6293706298</v>
      </c>
      <c r="K64" s="8">
        <v>0</v>
      </c>
      <c r="L64" s="8">
        <f t="shared" si="1"/>
        <v>9674609.6293706298</v>
      </c>
      <c r="M64" s="8">
        <v>19410820.43</v>
      </c>
      <c r="N64" s="8">
        <f t="shared" si="2"/>
        <v>9736210.8006293699</v>
      </c>
    </row>
    <row r="65" spans="2:14" ht="60">
      <c r="B65" s="9" t="s">
        <v>587</v>
      </c>
      <c r="C65" s="9" t="s">
        <v>588</v>
      </c>
      <c r="D65" s="9" t="s">
        <v>2079</v>
      </c>
      <c r="E65" s="9" t="s">
        <v>587</v>
      </c>
      <c r="F65" s="7" t="s">
        <v>2337</v>
      </c>
      <c r="G65" s="9" t="s">
        <v>1578</v>
      </c>
      <c r="H65" s="9" t="s">
        <v>1581</v>
      </c>
      <c r="I65" s="8">
        <v>2432882.69</v>
      </c>
      <c r="J65" s="8">
        <v>1016666.8870207699</v>
      </c>
      <c r="K65" s="8">
        <v>4753094.72</v>
      </c>
      <c r="L65" s="8">
        <f t="shared" si="1"/>
        <v>5769761.6070207693</v>
      </c>
      <c r="M65" s="8">
        <v>982884.61</v>
      </c>
      <c r="N65" s="8">
        <f t="shared" si="2"/>
        <v>-4786876.9970207689</v>
      </c>
    </row>
    <row r="66" spans="2:14" ht="45">
      <c r="B66" s="9" t="s">
        <v>64</v>
      </c>
      <c r="C66" s="9" t="s">
        <v>65</v>
      </c>
      <c r="D66" s="9" t="s">
        <v>1955</v>
      </c>
      <c r="E66" s="9" t="s">
        <v>64</v>
      </c>
      <c r="F66" s="7" t="s">
        <v>3659</v>
      </c>
      <c r="G66" s="9" t="s">
        <v>1582</v>
      </c>
      <c r="H66" s="9" t="s">
        <v>1581</v>
      </c>
      <c r="I66" s="8">
        <v>108029244.16</v>
      </c>
      <c r="J66" s="8">
        <v>10111740.190217394</v>
      </c>
      <c r="K66" s="8">
        <v>0</v>
      </c>
      <c r="L66" s="8">
        <f t="shared" si="1"/>
        <v>10111740.190217394</v>
      </c>
      <c r="M66" s="8">
        <v>23366725.510000002</v>
      </c>
      <c r="N66" s="8">
        <f t="shared" si="2"/>
        <v>13254985.319782607</v>
      </c>
    </row>
    <row r="67" spans="2:14" ht="30">
      <c r="B67" s="9" t="s">
        <v>67</v>
      </c>
      <c r="C67" s="9" t="s">
        <v>68</v>
      </c>
      <c r="D67" s="9" t="s">
        <v>2077</v>
      </c>
      <c r="E67" s="9" t="s">
        <v>67</v>
      </c>
      <c r="F67" s="7" t="s">
        <v>3660</v>
      </c>
      <c r="G67" s="9" t="s">
        <v>1582</v>
      </c>
      <c r="H67" s="9" t="s">
        <v>1581</v>
      </c>
      <c r="I67" s="8">
        <v>42465684.689999998</v>
      </c>
      <c r="J67" s="8">
        <v>4100617.4456521748</v>
      </c>
      <c r="K67" s="8">
        <v>0</v>
      </c>
      <c r="L67" s="8">
        <f t="shared" si="1"/>
        <v>4100617.4456521748</v>
      </c>
      <c r="M67" s="8">
        <v>8310534.4900000002</v>
      </c>
      <c r="N67" s="8">
        <f t="shared" si="2"/>
        <v>4209917.0443478255</v>
      </c>
    </row>
    <row r="68" spans="2:14" ht="45">
      <c r="B68" s="9" t="s">
        <v>1382</v>
      </c>
      <c r="C68" s="9" t="s">
        <v>1383</v>
      </c>
      <c r="D68" s="9" t="s">
        <v>2078</v>
      </c>
      <c r="E68" s="9" t="s">
        <v>1382</v>
      </c>
      <c r="F68" s="7" t="s">
        <v>2402</v>
      </c>
      <c r="G68" s="9" t="s">
        <v>1582</v>
      </c>
      <c r="H68" s="9" t="s">
        <v>1581</v>
      </c>
      <c r="I68" s="8">
        <v>69977.820000000007</v>
      </c>
      <c r="J68" s="8">
        <v>11196.869565217394</v>
      </c>
      <c r="K68" s="8">
        <v>0</v>
      </c>
      <c r="L68" s="8">
        <f t="shared" si="1"/>
        <v>11196.869565217394</v>
      </c>
      <c r="M68" s="8">
        <v>26668.54</v>
      </c>
      <c r="N68" s="8">
        <f t="shared" si="2"/>
        <v>15471.670434782607</v>
      </c>
    </row>
    <row r="69" spans="2:14" ht="45">
      <c r="B69" s="9" t="s">
        <v>593</v>
      </c>
      <c r="C69" s="9" t="s">
        <v>594</v>
      </c>
      <c r="D69" s="9" t="s">
        <v>2076</v>
      </c>
      <c r="E69" s="9" t="s">
        <v>593</v>
      </c>
      <c r="F69" s="7" t="s">
        <v>2474</v>
      </c>
      <c r="G69" s="9" t="s">
        <v>1582</v>
      </c>
      <c r="H69" s="9" t="s">
        <v>1581</v>
      </c>
      <c r="I69" s="8">
        <v>84089949.359999999</v>
      </c>
      <c r="J69" s="8">
        <v>8386515.9213973805</v>
      </c>
      <c r="K69" s="8">
        <v>0</v>
      </c>
      <c r="L69" s="8">
        <f t="shared" si="1"/>
        <v>8386515.9213973805</v>
      </c>
      <c r="M69" s="8">
        <v>19920909</v>
      </c>
      <c r="N69" s="8">
        <f t="shared" si="2"/>
        <v>11534393.078602619</v>
      </c>
    </row>
    <row r="70" spans="2:14" ht="60">
      <c r="B70" s="9" t="s">
        <v>599</v>
      </c>
      <c r="C70" s="9" t="s">
        <v>600</v>
      </c>
      <c r="D70" s="9" t="s">
        <v>1699</v>
      </c>
      <c r="E70" s="9" t="s">
        <v>599</v>
      </c>
      <c r="F70" s="7" t="s">
        <v>3661</v>
      </c>
      <c r="G70" s="9" t="s">
        <v>1582</v>
      </c>
      <c r="H70" s="9" t="s">
        <v>1581</v>
      </c>
      <c r="I70" s="8">
        <v>1224923.79</v>
      </c>
      <c r="J70" s="8">
        <v>642144.28456165828</v>
      </c>
      <c r="K70" s="8">
        <v>0</v>
      </c>
      <c r="L70" s="8">
        <f t="shared" si="1"/>
        <v>642144.28456165828</v>
      </c>
      <c r="M70" s="8">
        <v>668685.9</v>
      </c>
      <c r="N70" s="8">
        <f t="shared" si="2"/>
        <v>26541.615438341745</v>
      </c>
    </row>
    <row r="71" spans="2:14" ht="75">
      <c r="B71" s="9" t="s">
        <v>596</v>
      </c>
      <c r="C71" s="9" t="s">
        <v>597</v>
      </c>
      <c r="D71" s="9" t="s">
        <v>2075</v>
      </c>
      <c r="E71" s="9" t="s">
        <v>596</v>
      </c>
      <c r="F71" s="7" t="s">
        <v>598</v>
      </c>
      <c r="G71" s="9" t="s">
        <v>1582</v>
      </c>
      <c r="H71" s="9" t="s">
        <v>1581</v>
      </c>
      <c r="I71" s="8">
        <v>15032206.970000001</v>
      </c>
      <c r="J71" s="8">
        <v>4010198.104478824</v>
      </c>
      <c r="K71" s="8">
        <v>0</v>
      </c>
      <c r="L71" s="8">
        <f t="shared" si="1"/>
        <v>4010198.104478824</v>
      </c>
      <c r="M71" s="8">
        <v>2477307.71</v>
      </c>
      <c r="N71" s="8">
        <f t="shared" si="2"/>
        <v>-1532890.394478824</v>
      </c>
    </row>
    <row r="72" spans="2:14" ht="60">
      <c r="B72" s="9" t="s">
        <v>70</v>
      </c>
      <c r="C72" s="9" t="s">
        <v>71</v>
      </c>
      <c r="D72" s="9" t="s">
        <v>2074</v>
      </c>
      <c r="E72" s="9" t="s">
        <v>70</v>
      </c>
      <c r="F72" s="7" t="s">
        <v>3662</v>
      </c>
      <c r="G72" s="9" t="s">
        <v>1582</v>
      </c>
      <c r="H72" s="9" t="s">
        <v>1581</v>
      </c>
      <c r="I72" s="8">
        <v>236517373.62</v>
      </c>
      <c r="J72" s="8">
        <v>52745059.912698418</v>
      </c>
      <c r="K72" s="8">
        <v>0</v>
      </c>
      <c r="L72" s="8">
        <f t="shared" ref="L72:L135" si="3">J72+K72</f>
        <v>52745059.912698418</v>
      </c>
      <c r="M72" s="8">
        <v>58467094.759999998</v>
      </c>
      <c r="N72" s="8">
        <f t="shared" ref="N72:N135" si="4">M72-L72</f>
        <v>5722034.84730158</v>
      </c>
    </row>
    <row r="73" spans="2:14" ht="60">
      <c r="B73" s="9" t="s">
        <v>3281</v>
      </c>
      <c r="C73" s="9" t="s">
        <v>62</v>
      </c>
      <c r="D73" s="9" t="s">
        <v>2073</v>
      </c>
      <c r="E73" s="9" t="s">
        <v>3281</v>
      </c>
      <c r="F73" s="7" t="s">
        <v>2708</v>
      </c>
      <c r="G73" s="9" t="s">
        <v>1582</v>
      </c>
      <c r="H73" s="9" t="s">
        <v>1581</v>
      </c>
      <c r="I73" s="8">
        <v>90810392.230000004</v>
      </c>
      <c r="J73" s="8">
        <v>9229392.9877300616</v>
      </c>
      <c r="K73" s="8">
        <v>0</v>
      </c>
      <c r="L73" s="8">
        <f t="shared" si="3"/>
        <v>9229392.9877300616</v>
      </c>
      <c r="M73" s="8">
        <v>19642287.84</v>
      </c>
      <c r="N73" s="8">
        <f t="shared" si="4"/>
        <v>10412894.852269938</v>
      </c>
    </row>
    <row r="74" spans="2:14" ht="75">
      <c r="B74" s="9" t="s">
        <v>3068</v>
      </c>
      <c r="C74" s="9" t="s">
        <v>3135</v>
      </c>
      <c r="D74" s="9" t="s">
        <v>2138</v>
      </c>
      <c r="E74" s="9" t="s">
        <v>3068</v>
      </c>
      <c r="F74" s="7" t="s">
        <v>3663</v>
      </c>
      <c r="G74" s="9" t="s">
        <v>1582</v>
      </c>
      <c r="H74" s="9" t="s">
        <v>1581</v>
      </c>
      <c r="I74" s="8">
        <v>18526457.789999999</v>
      </c>
      <c r="J74" s="8">
        <v>1297761.2151898737</v>
      </c>
      <c r="K74" s="8">
        <v>0</v>
      </c>
      <c r="L74" s="8">
        <f t="shared" si="3"/>
        <v>1297761.2151898737</v>
      </c>
      <c r="M74" s="8">
        <v>4431528.7</v>
      </c>
      <c r="N74" s="8">
        <f t="shared" si="4"/>
        <v>3133767.4848101265</v>
      </c>
    </row>
    <row r="75" spans="2:14" ht="30">
      <c r="B75" s="9" t="s">
        <v>73</v>
      </c>
      <c r="C75" s="9" t="s">
        <v>74</v>
      </c>
      <c r="D75" s="9" t="s">
        <v>2071</v>
      </c>
      <c r="E75" s="9" t="s">
        <v>73</v>
      </c>
      <c r="F75" s="7" t="s">
        <v>3664</v>
      </c>
      <c r="G75" s="9" t="s">
        <v>1582</v>
      </c>
      <c r="H75" s="9" t="s">
        <v>1581</v>
      </c>
      <c r="I75" s="8">
        <v>9559943.4000000004</v>
      </c>
      <c r="J75" s="8">
        <v>1836554.7971427671</v>
      </c>
      <c r="K75" s="8">
        <v>0</v>
      </c>
      <c r="L75" s="8">
        <f t="shared" si="3"/>
        <v>1836554.7971427671</v>
      </c>
      <c r="M75" s="8">
        <v>2363218.0099999998</v>
      </c>
      <c r="N75" s="8">
        <f t="shared" si="4"/>
        <v>526663.21285723266</v>
      </c>
    </row>
    <row r="76" spans="2:14" ht="60">
      <c r="B76" s="9" t="s">
        <v>602</v>
      </c>
      <c r="C76" s="9" t="s">
        <v>603</v>
      </c>
      <c r="D76" s="9" t="s">
        <v>2072</v>
      </c>
      <c r="E76" s="9" t="s">
        <v>602</v>
      </c>
      <c r="F76" s="7" t="s">
        <v>2300</v>
      </c>
      <c r="G76" s="9" t="s">
        <v>1582</v>
      </c>
      <c r="H76" s="9" t="s">
        <v>1581</v>
      </c>
      <c r="I76" s="8">
        <v>7567998.9900000002</v>
      </c>
      <c r="J76" s="8">
        <v>2066160.0106758124</v>
      </c>
      <c r="K76" s="8">
        <v>0</v>
      </c>
      <c r="L76" s="8">
        <f t="shared" si="3"/>
        <v>2066160.0106758124</v>
      </c>
      <c r="M76" s="8">
        <v>2260561.2999999998</v>
      </c>
      <c r="N76" s="8">
        <f t="shared" si="4"/>
        <v>194401.28932418744</v>
      </c>
    </row>
    <row r="77" spans="2:14" ht="60">
      <c r="B77" s="9" t="s">
        <v>1560</v>
      </c>
      <c r="C77" s="9" t="s">
        <v>2070</v>
      </c>
      <c r="D77" s="9" t="s">
        <v>2069</v>
      </c>
      <c r="E77" s="9" t="s">
        <v>1560</v>
      </c>
      <c r="F77" s="7" t="s">
        <v>2298</v>
      </c>
      <c r="G77" s="9" t="s">
        <v>1582</v>
      </c>
      <c r="H77" s="9" t="s">
        <v>1581</v>
      </c>
      <c r="I77" s="8">
        <v>197905798.28</v>
      </c>
      <c r="J77" s="8">
        <v>19694968.339506172</v>
      </c>
      <c r="K77" s="8">
        <v>19989128.190000001</v>
      </c>
      <c r="L77" s="8">
        <f t="shared" si="3"/>
        <v>39684096.529506177</v>
      </c>
      <c r="M77" s="8">
        <v>44845453.890000001</v>
      </c>
      <c r="N77" s="8">
        <f t="shared" si="4"/>
        <v>5161357.3604938239</v>
      </c>
    </row>
    <row r="78" spans="2:14" ht="60">
      <c r="B78" s="9" t="s">
        <v>608</v>
      </c>
      <c r="C78" s="9" t="s">
        <v>609</v>
      </c>
      <c r="D78" s="9" t="s">
        <v>2068</v>
      </c>
      <c r="E78" s="9" t="s">
        <v>608</v>
      </c>
      <c r="F78" s="7" t="s">
        <v>2301</v>
      </c>
      <c r="G78" s="9" t="s">
        <v>1582</v>
      </c>
      <c r="H78" s="9" t="s">
        <v>1581</v>
      </c>
      <c r="I78" s="8">
        <v>12110254.52</v>
      </c>
      <c r="J78" s="8">
        <v>3042402.8560824413</v>
      </c>
      <c r="K78" s="8">
        <v>0</v>
      </c>
      <c r="L78" s="8">
        <f t="shared" si="3"/>
        <v>3042402.8560824413</v>
      </c>
      <c r="M78" s="8">
        <v>2868919.3</v>
      </c>
      <c r="N78" s="8">
        <f t="shared" si="4"/>
        <v>-173483.55608244147</v>
      </c>
    </row>
    <row r="79" spans="2:14" ht="45">
      <c r="B79" s="9" t="s">
        <v>611</v>
      </c>
      <c r="C79" s="9" t="s">
        <v>612</v>
      </c>
      <c r="D79" s="9" t="s">
        <v>2067</v>
      </c>
      <c r="E79" s="9" t="s">
        <v>611</v>
      </c>
      <c r="F79" s="7" t="s">
        <v>2315</v>
      </c>
      <c r="G79" s="9" t="s">
        <v>1578</v>
      </c>
      <c r="H79" s="9" t="s">
        <v>1581</v>
      </c>
      <c r="I79" s="8">
        <v>19873335.07</v>
      </c>
      <c r="J79" s="8">
        <v>2732854.0295857992</v>
      </c>
      <c r="K79" s="8">
        <v>0</v>
      </c>
      <c r="L79" s="8">
        <f t="shared" si="3"/>
        <v>2732854.0295857992</v>
      </c>
      <c r="M79" s="8">
        <v>5526774.4800000004</v>
      </c>
      <c r="N79" s="8">
        <f t="shared" si="4"/>
        <v>2793920.4504142012</v>
      </c>
    </row>
    <row r="80" spans="2:14" ht="60">
      <c r="B80" s="9" t="s">
        <v>1387</v>
      </c>
      <c r="C80" s="9" t="s">
        <v>1388</v>
      </c>
      <c r="D80" s="9" t="s">
        <v>2729</v>
      </c>
      <c r="E80" s="9" t="s">
        <v>1387</v>
      </c>
      <c r="F80" s="7" t="s">
        <v>3665</v>
      </c>
      <c r="G80" s="9" t="s">
        <v>1582</v>
      </c>
      <c r="H80" s="9" t="s">
        <v>1581</v>
      </c>
      <c r="I80" s="8">
        <v>140384.6</v>
      </c>
      <c r="J80" s="6">
        <v>0.01</v>
      </c>
      <c r="K80" s="8">
        <v>0</v>
      </c>
      <c r="L80" s="8">
        <f t="shared" si="3"/>
        <v>0.01</v>
      </c>
      <c r="M80" s="8">
        <v>72298.070000000007</v>
      </c>
      <c r="N80" s="8">
        <f t="shared" si="4"/>
        <v>72298.060000000012</v>
      </c>
    </row>
    <row r="81" spans="2:14" ht="60">
      <c r="B81" s="9" t="s">
        <v>1393</v>
      </c>
      <c r="C81" s="9" t="s">
        <v>1394</v>
      </c>
      <c r="D81" s="9" t="s">
        <v>2064</v>
      </c>
      <c r="E81" s="9" t="s">
        <v>1393</v>
      </c>
      <c r="F81" s="7" t="s">
        <v>1395</v>
      </c>
      <c r="G81" s="9" t="s">
        <v>1582</v>
      </c>
      <c r="H81" s="9" t="s">
        <v>1581</v>
      </c>
      <c r="I81" s="8">
        <v>24273.02</v>
      </c>
      <c r="J81" s="6">
        <v>0.01</v>
      </c>
      <c r="K81" s="8">
        <v>0</v>
      </c>
      <c r="L81" s="8">
        <f t="shared" si="3"/>
        <v>0.01</v>
      </c>
      <c r="M81" s="8">
        <v>18932.96</v>
      </c>
      <c r="N81" s="8">
        <f t="shared" si="4"/>
        <v>18932.95</v>
      </c>
    </row>
    <row r="82" spans="2:14" ht="60">
      <c r="B82" s="9" t="s">
        <v>1554</v>
      </c>
      <c r="C82" s="9" t="s">
        <v>109</v>
      </c>
      <c r="D82" s="9" t="s">
        <v>2059</v>
      </c>
      <c r="E82" s="9" t="s">
        <v>1554</v>
      </c>
      <c r="F82" s="7" t="s">
        <v>3666</v>
      </c>
      <c r="G82" s="9" t="s">
        <v>1582</v>
      </c>
      <c r="H82" s="9" t="s">
        <v>1581</v>
      </c>
      <c r="I82" s="8">
        <v>733257185.86000001</v>
      </c>
      <c r="J82" s="8">
        <v>46639913.921686739</v>
      </c>
      <c r="K82" s="8">
        <v>0</v>
      </c>
      <c r="L82" s="8">
        <f t="shared" si="3"/>
        <v>46639913.921686739</v>
      </c>
      <c r="M82" s="8">
        <v>67972941.129999995</v>
      </c>
      <c r="N82" s="8">
        <f t="shared" si="4"/>
        <v>21333027.208313257</v>
      </c>
    </row>
    <row r="83" spans="2:14" ht="60">
      <c r="B83" s="9" t="s">
        <v>623</v>
      </c>
      <c r="C83" s="9" t="s">
        <v>624</v>
      </c>
      <c r="D83" s="9" t="s">
        <v>2058</v>
      </c>
      <c r="E83" s="9" t="s">
        <v>623</v>
      </c>
      <c r="F83" s="7" t="s">
        <v>2285</v>
      </c>
      <c r="G83" s="9" t="s">
        <v>1582</v>
      </c>
      <c r="H83" s="9" t="s">
        <v>1581</v>
      </c>
      <c r="I83" s="8">
        <v>321788065.36000001</v>
      </c>
      <c r="J83" s="8">
        <v>19416825.087499999</v>
      </c>
      <c r="K83" s="8">
        <v>0</v>
      </c>
      <c r="L83" s="8">
        <f t="shared" si="3"/>
        <v>19416825.087499999</v>
      </c>
      <c r="M83" s="8">
        <v>33144170.739999998</v>
      </c>
      <c r="N83" s="8">
        <f t="shared" si="4"/>
        <v>13727345.6525</v>
      </c>
    </row>
    <row r="84" spans="2:14" ht="60">
      <c r="B84" s="9" t="s">
        <v>626</v>
      </c>
      <c r="C84" s="9" t="s">
        <v>627</v>
      </c>
      <c r="D84" s="9" t="s">
        <v>2057</v>
      </c>
      <c r="E84" s="9" t="s">
        <v>626</v>
      </c>
      <c r="F84" s="7" t="s">
        <v>3667</v>
      </c>
      <c r="G84" s="9" t="s">
        <v>1582</v>
      </c>
      <c r="H84" s="9" t="s">
        <v>1581</v>
      </c>
      <c r="I84" s="8">
        <v>56459655.450000003</v>
      </c>
      <c r="J84" s="8">
        <v>1954754.4624999999</v>
      </c>
      <c r="K84" s="8">
        <v>0</v>
      </c>
      <c r="L84" s="8">
        <f t="shared" si="3"/>
        <v>1954754.4624999999</v>
      </c>
      <c r="M84" s="8">
        <v>4697443.34</v>
      </c>
      <c r="N84" s="8">
        <f t="shared" si="4"/>
        <v>2742688.8774999999</v>
      </c>
    </row>
    <row r="85" spans="2:14" ht="60">
      <c r="B85" s="9" t="s">
        <v>629</v>
      </c>
      <c r="C85" s="9" t="s">
        <v>630</v>
      </c>
      <c r="D85" s="9" t="s">
        <v>2056</v>
      </c>
      <c r="E85" s="9" t="s">
        <v>629</v>
      </c>
      <c r="F85" s="7" t="s">
        <v>2625</v>
      </c>
      <c r="G85" s="9" t="s">
        <v>1582</v>
      </c>
      <c r="H85" s="9" t="s">
        <v>1581</v>
      </c>
      <c r="I85" s="8">
        <v>61114345.770000003</v>
      </c>
      <c r="J85" s="8">
        <v>2994985.873493976</v>
      </c>
      <c r="K85" s="8">
        <v>0</v>
      </c>
      <c r="L85" s="8">
        <f t="shared" si="3"/>
        <v>2994985.873493976</v>
      </c>
      <c r="M85" s="8">
        <v>6722578.0300000003</v>
      </c>
      <c r="N85" s="8">
        <f t="shared" si="4"/>
        <v>3727592.1565060243</v>
      </c>
    </row>
    <row r="86" spans="2:14" ht="60">
      <c r="B86" s="9" t="s">
        <v>605</v>
      </c>
      <c r="C86" s="9" t="s">
        <v>606</v>
      </c>
      <c r="D86" s="9" t="s">
        <v>2055</v>
      </c>
      <c r="E86" s="9" t="s">
        <v>605</v>
      </c>
      <c r="F86" s="7" t="s">
        <v>2653</v>
      </c>
      <c r="G86" s="9" t="s">
        <v>1582</v>
      </c>
      <c r="H86" s="9" t="s">
        <v>1581</v>
      </c>
      <c r="I86" s="8">
        <v>107338702.95999999</v>
      </c>
      <c r="J86" s="8">
        <v>6604725.5240963846</v>
      </c>
      <c r="K86" s="8">
        <v>0</v>
      </c>
      <c r="L86" s="8">
        <f t="shared" si="3"/>
        <v>6604725.5240963846</v>
      </c>
      <c r="M86" s="8">
        <v>12043402.48</v>
      </c>
      <c r="N86" s="8">
        <f t="shared" si="4"/>
        <v>5438676.9559036158</v>
      </c>
    </row>
    <row r="87" spans="2:14" ht="45">
      <c r="B87" s="9" t="s">
        <v>632</v>
      </c>
      <c r="C87" s="9" t="s">
        <v>633</v>
      </c>
      <c r="D87" s="9" t="s">
        <v>2054</v>
      </c>
      <c r="E87" s="9" t="s">
        <v>632</v>
      </c>
      <c r="F87" s="7" t="s">
        <v>2638</v>
      </c>
      <c r="G87" s="9" t="s">
        <v>1582</v>
      </c>
      <c r="H87" s="9" t="s">
        <v>1581</v>
      </c>
      <c r="I87" s="8">
        <v>174149762.53</v>
      </c>
      <c r="J87" s="8">
        <v>12718664.759036142</v>
      </c>
      <c r="K87" s="8">
        <v>0</v>
      </c>
      <c r="L87" s="8">
        <f t="shared" si="3"/>
        <v>12718664.759036142</v>
      </c>
      <c r="M87" s="8">
        <v>16300417.779999999</v>
      </c>
      <c r="N87" s="8">
        <f t="shared" si="4"/>
        <v>3581753.020963857</v>
      </c>
    </row>
    <row r="88" spans="2:14" ht="45">
      <c r="B88" s="9" t="s">
        <v>635</v>
      </c>
      <c r="C88" s="9" t="s">
        <v>636</v>
      </c>
      <c r="D88" s="9" t="s">
        <v>2053</v>
      </c>
      <c r="E88" s="9" t="s">
        <v>635</v>
      </c>
      <c r="F88" s="7" t="s">
        <v>2268</v>
      </c>
      <c r="G88" s="9" t="s">
        <v>1582</v>
      </c>
      <c r="H88" s="9" t="s">
        <v>1581</v>
      </c>
      <c r="I88" s="8">
        <v>41342682.079999998</v>
      </c>
      <c r="J88" s="8">
        <v>1857612.95625</v>
      </c>
      <c r="K88" s="8">
        <v>0</v>
      </c>
      <c r="L88" s="8">
        <f t="shared" si="3"/>
        <v>1857612.95625</v>
      </c>
      <c r="M88" s="8">
        <v>4258296.26</v>
      </c>
      <c r="N88" s="8">
        <f t="shared" si="4"/>
        <v>2400683.30375</v>
      </c>
    </row>
    <row r="89" spans="2:14" ht="60">
      <c r="B89" s="9" t="s">
        <v>638</v>
      </c>
      <c r="C89" s="9" t="s">
        <v>639</v>
      </c>
      <c r="D89" s="9" t="s">
        <v>2052</v>
      </c>
      <c r="E89" s="9" t="s">
        <v>638</v>
      </c>
      <c r="F89" s="7" t="s">
        <v>2263</v>
      </c>
      <c r="G89" s="9" t="s">
        <v>1582</v>
      </c>
      <c r="H89" s="9" t="s">
        <v>1581</v>
      </c>
      <c r="I89" s="8">
        <v>114339875.48999999</v>
      </c>
      <c r="J89" s="8">
        <v>4506284.2937499993</v>
      </c>
      <c r="K89" s="8">
        <v>0</v>
      </c>
      <c r="L89" s="8">
        <f t="shared" si="3"/>
        <v>4506284.2937499993</v>
      </c>
      <c r="M89" s="8">
        <v>14269616.460000001</v>
      </c>
      <c r="N89" s="8">
        <f t="shared" si="4"/>
        <v>9763332.1662500016</v>
      </c>
    </row>
    <row r="90" spans="2:14" ht="60">
      <c r="B90" s="9" t="s">
        <v>641</v>
      </c>
      <c r="C90" s="9" t="s">
        <v>642</v>
      </c>
      <c r="D90" s="9" t="s">
        <v>2051</v>
      </c>
      <c r="E90" s="9" t="s">
        <v>641</v>
      </c>
      <c r="F90" s="7" t="s">
        <v>2485</v>
      </c>
      <c r="G90" s="9" t="s">
        <v>1582</v>
      </c>
      <c r="H90" s="9" t="s">
        <v>1581</v>
      </c>
      <c r="I90" s="8">
        <v>186136606.94</v>
      </c>
      <c r="J90" s="8">
        <v>12366336.30177515</v>
      </c>
      <c r="K90" s="8">
        <v>0</v>
      </c>
      <c r="L90" s="8">
        <f t="shared" si="3"/>
        <v>12366336.30177515</v>
      </c>
      <c r="M90" s="8">
        <v>22559756.760000002</v>
      </c>
      <c r="N90" s="8">
        <f t="shared" si="4"/>
        <v>10193420.458224852</v>
      </c>
    </row>
    <row r="91" spans="2:14" ht="60">
      <c r="B91" s="9" t="s">
        <v>644</v>
      </c>
      <c r="C91" s="9" t="s">
        <v>645</v>
      </c>
      <c r="D91" s="9" t="s">
        <v>2050</v>
      </c>
      <c r="E91" s="9" t="s">
        <v>644</v>
      </c>
      <c r="F91" s="7" t="s">
        <v>2494</v>
      </c>
      <c r="G91" s="9" t="s">
        <v>1582</v>
      </c>
      <c r="H91" s="9" t="s">
        <v>1581</v>
      </c>
      <c r="I91" s="8">
        <v>150480555.30000001</v>
      </c>
      <c r="J91" s="8">
        <v>8521061.0473372787</v>
      </c>
      <c r="K91" s="8">
        <v>0</v>
      </c>
      <c r="L91" s="8">
        <f t="shared" si="3"/>
        <v>8521061.0473372787</v>
      </c>
      <c r="M91" s="8">
        <v>15649977.75</v>
      </c>
      <c r="N91" s="8">
        <f t="shared" si="4"/>
        <v>7128916.7026627213</v>
      </c>
    </row>
    <row r="92" spans="2:14" ht="30">
      <c r="B92" s="9" t="s">
        <v>76</v>
      </c>
      <c r="C92" s="9" t="s">
        <v>77</v>
      </c>
      <c r="D92" s="9" t="s">
        <v>2049</v>
      </c>
      <c r="E92" s="9" t="s">
        <v>76</v>
      </c>
      <c r="F92" s="7" t="s">
        <v>2425</v>
      </c>
      <c r="G92" s="9" t="s">
        <v>1582</v>
      </c>
      <c r="H92" s="9" t="s">
        <v>1581</v>
      </c>
      <c r="I92" s="8">
        <v>1678920.81</v>
      </c>
      <c r="J92" s="8">
        <v>1029923.5475483449</v>
      </c>
      <c r="K92" s="8">
        <v>0</v>
      </c>
      <c r="L92" s="8">
        <f t="shared" si="3"/>
        <v>1029923.5475483449</v>
      </c>
      <c r="M92" s="8">
        <v>985694.41</v>
      </c>
      <c r="N92" s="8">
        <f t="shared" si="4"/>
        <v>-44229.137548344908</v>
      </c>
    </row>
    <row r="93" spans="2:14" ht="60">
      <c r="B93" s="9" t="s">
        <v>2046</v>
      </c>
      <c r="C93" s="9" t="s">
        <v>2048</v>
      </c>
      <c r="D93" s="9" t="s">
        <v>2047</v>
      </c>
      <c r="E93" s="9" t="s">
        <v>2046</v>
      </c>
      <c r="F93" s="7" t="s">
        <v>2200</v>
      </c>
      <c r="G93" s="9" t="s">
        <v>1582</v>
      </c>
      <c r="H93" s="9" t="s">
        <v>1577</v>
      </c>
      <c r="I93" s="8">
        <v>338987.47</v>
      </c>
      <c r="J93" s="8">
        <v>172744.10297259942</v>
      </c>
      <c r="K93" s="8">
        <v>0</v>
      </c>
      <c r="L93" s="8">
        <f t="shared" si="3"/>
        <v>172744.10297259942</v>
      </c>
      <c r="M93" s="8">
        <v>169222.55</v>
      </c>
      <c r="N93" s="8">
        <f t="shared" si="4"/>
        <v>-3521.5529725994274</v>
      </c>
    </row>
    <row r="94" spans="2:14" ht="45">
      <c r="B94" s="9" t="s">
        <v>647</v>
      </c>
      <c r="C94" s="9" t="s">
        <v>648</v>
      </c>
      <c r="D94" s="9" t="s">
        <v>2045</v>
      </c>
      <c r="E94" s="9" t="s">
        <v>647</v>
      </c>
      <c r="F94" s="7" t="s">
        <v>2503</v>
      </c>
      <c r="G94" s="9" t="s">
        <v>1582</v>
      </c>
      <c r="H94" s="9" t="s">
        <v>1581</v>
      </c>
      <c r="I94" s="8">
        <v>5955231.0199999996</v>
      </c>
      <c r="J94" s="8">
        <v>751076.23897058819</v>
      </c>
      <c r="K94" s="8">
        <v>0</v>
      </c>
      <c r="L94" s="8">
        <f t="shared" si="3"/>
        <v>751076.23897058819</v>
      </c>
      <c r="M94" s="8">
        <v>2330877.42</v>
      </c>
      <c r="N94" s="8">
        <f t="shared" si="4"/>
        <v>1579801.1810294117</v>
      </c>
    </row>
    <row r="95" spans="2:14" ht="30">
      <c r="B95" s="9" t="s">
        <v>650</v>
      </c>
      <c r="C95" s="9" t="s">
        <v>651</v>
      </c>
      <c r="D95" s="9" t="s">
        <v>2044</v>
      </c>
      <c r="E95" s="9" t="s">
        <v>650</v>
      </c>
      <c r="F95" s="7" t="s">
        <v>2043</v>
      </c>
      <c r="G95" s="9" t="s">
        <v>1578</v>
      </c>
      <c r="H95" s="9" t="s">
        <v>1577</v>
      </c>
      <c r="I95" s="8">
        <v>10189.27</v>
      </c>
      <c r="J95" s="8">
        <v>3108.2884154787903</v>
      </c>
      <c r="K95" s="8">
        <v>0</v>
      </c>
      <c r="L95" s="8">
        <f t="shared" si="3"/>
        <v>3108.2884154787903</v>
      </c>
      <c r="M95" s="8">
        <v>21920.18</v>
      </c>
      <c r="N95" s="8">
        <f t="shared" si="4"/>
        <v>18811.89158452121</v>
      </c>
    </row>
    <row r="96" spans="2:14" ht="75">
      <c r="B96" s="9" t="s">
        <v>653</v>
      </c>
      <c r="C96" s="9" t="s">
        <v>654</v>
      </c>
      <c r="D96" s="9" t="s">
        <v>2042</v>
      </c>
      <c r="E96" s="9" t="s">
        <v>653</v>
      </c>
      <c r="F96" s="7" t="s">
        <v>2362</v>
      </c>
      <c r="G96" s="9" t="s">
        <v>1582</v>
      </c>
      <c r="H96" s="9" t="s">
        <v>1581</v>
      </c>
      <c r="I96" s="8">
        <v>103241.69</v>
      </c>
      <c r="J96" s="6">
        <v>0.01</v>
      </c>
      <c r="K96" s="8">
        <v>0</v>
      </c>
      <c r="L96" s="8">
        <f t="shared" si="3"/>
        <v>0.01</v>
      </c>
      <c r="M96" s="8">
        <v>23167.43</v>
      </c>
      <c r="N96" s="8">
        <f t="shared" si="4"/>
        <v>23167.420000000002</v>
      </c>
    </row>
    <row r="97" spans="2:14" ht="30">
      <c r="B97" s="9" t="s">
        <v>85</v>
      </c>
      <c r="C97" s="9" t="s">
        <v>86</v>
      </c>
      <c r="D97" s="9" t="s">
        <v>2041</v>
      </c>
      <c r="E97" s="9" t="s">
        <v>85</v>
      </c>
      <c r="F97" s="7" t="s">
        <v>2040</v>
      </c>
      <c r="G97" s="9" t="s">
        <v>1582</v>
      </c>
      <c r="H97" s="9" t="s">
        <v>1581</v>
      </c>
      <c r="I97" s="8">
        <v>565950579.16999996</v>
      </c>
      <c r="J97" s="8">
        <v>126777963.85620916</v>
      </c>
      <c r="K97" s="8">
        <v>0</v>
      </c>
      <c r="L97" s="8">
        <f t="shared" si="3"/>
        <v>126777963.85620916</v>
      </c>
      <c r="M97" s="8">
        <v>217211832.28</v>
      </c>
      <c r="N97" s="8">
        <f t="shared" si="4"/>
        <v>90433868.423790842</v>
      </c>
    </row>
    <row r="98" spans="2:14" ht="30">
      <c r="B98" s="9" t="s">
        <v>659</v>
      </c>
      <c r="C98" s="9" t="s">
        <v>660</v>
      </c>
      <c r="D98" s="9" t="s">
        <v>2730</v>
      </c>
      <c r="E98" s="9" t="s">
        <v>659</v>
      </c>
      <c r="F98" s="7" t="s">
        <v>3668</v>
      </c>
      <c r="G98" s="9" t="s">
        <v>1582</v>
      </c>
      <c r="H98" s="9" t="s">
        <v>1581</v>
      </c>
      <c r="I98" s="8">
        <v>102069.99</v>
      </c>
      <c r="J98" s="8">
        <v>30375</v>
      </c>
      <c r="K98" s="8">
        <v>0</v>
      </c>
      <c r="L98" s="8">
        <f t="shared" si="3"/>
        <v>30375</v>
      </c>
      <c r="M98" s="8">
        <v>49891.82</v>
      </c>
      <c r="N98" s="8">
        <f t="shared" si="4"/>
        <v>19516.82</v>
      </c>
    </row>
    <row r="99" spans="2:14" ht="30">
      <c r="B99" s="9" t="s">
        <v>662</v>
      </c>
      <c r="C99" s="9" t="s">
        <v>663</v>
      </c>
      <c r="D99" s="9" t="s">
        <v>2037</v>
      </c>
      <c r="E99" s="9" t="s">
        <v>662</v>
      </c>
      <c r="F99" s="7" t="s">
        <v>2036</v>
      </c>
      <c r="G99" s="9" t="s">
        <v>1582</v>
      </c>
      <c r="H99" s="9" t="s">
        <v>1581</v>
      </c>
      <c r="I99" s="8">
        <v>1019897.69</v>
      </c>
      <c r="J99" s="8">
        <v>134717.70414201182</v>
      </c>
      <c r="K99" s="8">
        <v>0</v>
      </c>
      <c r="L99" s="8">
        <f t="shared" si="3"/>
        <v>134717.70414201182</v>
      </c>
      <c r="M99" s="8">
        <v>183581.58</v>
      </c>
      <c r="N99" s="8">
        <f t="shared" si="4"/>
        <v>48863.875857988169</v>
      </c>
    </row>
    <row r="100" spans="2:14" ht="45">
      <c r="B100" s="9" t="s">
        <v>1396</v>
      </c>
      <c r="C100" s="9" t="s">
        <v>1397</v>
      </c>
      <c r="D100" s="9" t="s">
        <v>2035</v>
      </c>
      <c r="E100" s="9" t="s">
        <v>1396</v>
      </c>
      <c r="F100" s="7" t="s">
        <v>2034</v>
      </c>
      <c r="G100" s="9" t="s">
        <v>1582</v>
      </c>
      <c r="H100" s="9" t="s">
        <v>1581</v>
      </c>
      <c r="I100" s="8">
        <v>762103.37</v>
      </c>
      <c r="J100" s="8">
        <v>297578.96296296298</v>
      </c>
      <c r="K100" s="8">
        <v>0</v>
      </c>
      <c r="L100" s="8">
        <f t="shared" si="3"/>
        <v>297578.96296296298</v>
      </c>
      <c r="M100" s="8">
        <v>624924.76</v>
      </c>
      <c r="N100" s="8">
        <f t="shared" si="4"/>
        <v>327345.79703703703</v>
      </c>
    </row>
    <row r="101" spans="2:14" ht="45">
      <c r="B101" s="9" t="s">
        <v>88</v>
      </c>
      <c r="C101" s="9" t="s">
        <v>89</v>
      </c>
      <c r="D101" s="9" t="s">
        <v>2033</v>
      </c>
      <c r="E101" s="9" t="s">
        <v>88</v>
      </c>
      <c r="F101" s="7" t="s">
        <v>3669</v>
      </c>
      <c r="G101" s="9" t="s">
        <v>1578</v>
      </c>
      <c r="H101" s="9" t="s">
        <v>1577</v>
      </c>
      <c r="I101" s="8">
        <v>835468.82</v>
      </c>
      <c r="J101" s="8">
        <v>184851.07369281078</v>
      </c>
      <c r="K101" s="8">
        <v>0</v>
      </c>
      <c r="L101" s="8">
        <f t="shared" si="3"/>
        <v>184851.07369281078</v>
      </c>
      <c r="M101" s="8">
        <v>460176.22</v>
      </c>
      <c r="N101" s="8">
        <f t="shared" si="4"/>
        <v>275325.14630718919</v>
      </c>
    </row>
    <row r="102" spans="2:14" ht="45">
      <c r="B102" s="9" t="s">
        <v>614</v>
      </c>
      <c r="C102" s="9" t="s">
        <v>615</v>
      </c>
      <c r="D102" s="9" t="s">
        <v>2066</v>
      </c>
      <c r="E102" s="9" t="s">
        <v>614</v>
      </c>
      <c r="F102" s="7" t="s">
        <v>3670</v>
      </c>
      <c r="G102" s="9" t="s">
        <v>1578</v>
      </c>
      <c r="H102" s="9" t="s">
        <v>1577</v>
      </c>
      <c r="I102" s="8">
        <v>43480.63</v>
      </c>
      <c r="J102" s="8">
        <v>44754.482928873738</v>
      </c>
      <c r="K102" s="8">
        <v>0</v>
      </c>
      <c r="L102" s="8">
        <f t="shared" si="3"/>
        <v>44754.482928873738</v>
      </c>
      <c r="M102" s="8">
        <v>89148.34</v>
      </c>
      <c r="N102" s="8">
        <f t="shared" si="4"/>
        <v>44393.857071126258</v>
      </c>
    </row>
    <row r="103" spans="2:14" ht="30">
      <c r="B103" s="9" t="s">
        <v>665</v>
      </c>
      <c r="C103" s="9" t="s">
        <v>666</v>
      </c>
      <c r="D103" s="9" t="s">
        <v>2032</v>
      </c>
      <c r="E103" s="9" t="s">
        <v>665</v>
      </c>
      <c r="F103" s="7" t="s">
        <v>2327</v>
      </c>
      <c r="G103" s="9" t="s">
        <v>1578</v>
      </c>
      <c r="H103" s="9" t="s">
        <v>1577</v>
      </c>
      <c r="I103" s="8">
        <v>217949.07</v>
      </c>
      <c r="J103" s="8">
        <v>102139.75420272647</v>
      </c>
      <c r="K103" s="8">
        <v>0</v>
      </c>
      <c r="L103" s="8">
        <f t="shared" si="3"/>
        <v>102139.75420272647</v>
      </c>
      <c r="M103" s="8">
        <v>74800.12</v>
      </c>
      <c r="N103" s="8">
        <f t="shared" si="4"/>
        <v>-27339.634202726476</v>
      </c>
    </row>
    <row r="104" spans="2:14" ht="30">
      <c r="B104" s="9" t="s">
        <v>668</v>
      </c>
      <c r="C104" s="9" t="s">
        <v>669</v>
      </c>
      <c r="D104" s="9" t="s">
        <v>2031</v>
      </c>
      <c r="E104" s="9" t="s">
        <v>668</v>
      </c>
      <c r="F104" s="7" t="s">
        <v>2323</v>
      </c>
      <c r="G104" s="9" t="s">
        <v>1578</v>
      </c>
      <c r="H104" s="9" t="s">
        <v>1577</v>
      </c>
      <c r="I104" s="8">
        <v>351143</v>
      </c>
      <c r="J104" s="8">
        <v>304051.26764214155</v>
      </c>
      <c r="K104" s="8">
        <v>0</v>
      </c>
      <c r="L104" s="8">
        <f t="shared" si="3"/>
        <v>304051.26764214155</v>
      </c>
      <c r="M104" s="8">
        <v>681217.42</v>
      </c>
      <c r="N104" s="8">
        <f t="shared" si="4"/>
        <v>377166.15235785849</v>
      </c>
    </row>
    <row r="105" spans="2:14" ht="45">
      <c r="B105" s="9" t="s">
        <v>91</v>
      </c>
      <c r="C105" s="9" t="s">
        <v>92</v>
      </c>
      <c r="D105" s="9" t="s">
        <v>2029</v>
      </c>
      <c r="E105" s="9" t="s">
        <v>91</v>
      </c>
      <c r="F105" s="7" t="s">
        <v>2462</v>
      </c>
      <c r="G105" s="9" t="s">
        <v>1582</v>
      </c>
      <c r="H105" s="9" t="s">
        <v>1581</v>
      </c>
      <c r="I105" s="8">
        <v>1205498.78</v>
      </c>
      <c r="J105" s="8">
        <v>1556.35</v>
      </c>
      <c r="K105" s="8">
        <v>0</v>
      </c>
      <c r="L105" s="8">
        <f t="shared" si="3"/>
        <v>1556.35</v>
      </c>
      <c r="M105" s="8">
        <v>111749.74</v>
      </c>
      <c r="N105" s="8">
        <f t="shared" si="4"/>
        <v>110193.39</v>
      </c>
    </row>
    <row r="106" spans="2:14" ht="30">
      <c r="B106" s="9" t="s">
        <v>2731</v>
      </c>
      <c r="C106" s="9" t="s">
        <v>672</v>
      </c>
      <c r="D106" s="9" t="s">
        <v>2030</v>
      </c>
      <c r="E106" s="9" t="s">
        <v>2731</v>
      </c>
      <c r="F106" s="7" t="s">
        <v>2027</v>
      </c>
      <c r="G106" s="9" t="s">
        <v>1582</v>
      </c>
      <c r="H106" s="9" t="s">
        <v>1581</v>
      </c>
      <c r="I106" s="8">
        <v>105050483.23</v>
      </c>
      <c r="J106" s="8">
        <v>5313856.9562499989</v>
      </c>
      <c r="K106" s="8">
        <v>0</v>
      </c>
      <c r="L106" s="8">
        <f t="shared" si="3"/>
        <v>5313856.9562499989</v>
      </c>
      <c r="M106" s="8">
        <v>9738179.7899999991</v>
      </c>
      <c r="N106" s="8">
        <f t="shared" si="4"/>
        <v>4424322.8337500002</v>
      </c>
    </row>
    <row r="107" spans="2:14" ht="45">
      <c r="B107" s="9" t="s">
        <v>94</v>
      </c>
      <c r="C107" s="9" t="s">
        <v>95</v>
      </c>
      <c r="D107" s="9" t="s">
        <v>2025</v>
      </c>
      <c r="E107" s="9" t="s">
        <v>94</v>
      </c>
      <c r="F107" s="7" t="s">
        <v>2654</v>
      </c>
      <c r="G107" s="9" t="s">
        <v>1582</v>
      </c>
      <c r="H107" s="9" t="s">
        <v>1581</v>
      </c>
      <c r="I107" s="8">
        <v>161997.31</v>
      </c>
      <c r="J107" s="8">
        <v>19769.439759036148</v>
      </c>
      <c r="K107" s="8">
        <v>0</v>
      </c>
      <c r="L107" s="8">
        <f t="shared" si="3"/>
        <v>19769.439759036148</v>
      </c>
      <c r="M107" s="8">
        <v>42119.3</v>
      </c>
      <c r="N107" s="8">
        <f t="shared" si="4"/>
        <v>22349.860240963855</v>
      </c>
    </row>
    <row r="108" spans="2:14" ht="45">
      <c r="B108" s="9" t="s">
        <v>674</v>
      </c>
      <c r="C108" s="9" t="s">
        <v>675</v>
      </c>
      <c r="D108" s="9" t="s">
        <v>2024</v>
      </c>
      <c r="E108" s="9" t="s">
        <v>674</v>
      </c>
      <c r="F108" s="7" t="s">
        <v>2339</v>
      </c>
      <c r="G108" s="9" t="s">
        <v>1578</v>
      </c>
      <c r="H108" s="9" t="s">
        <v>1577</v>
      </c>
      <c r="I108" s="8">
        <v>73579.850000000006</v>
      </c>
      <c r="J108" s="8">
        <v>22445.905876246983</v>
      </c>
      <c r="K108" s="8">
        <v>0</v>
      </c>
      <c r="L108" s="8">
        <f t="shared" si="3"/>
        <v>22445.905876246983</v>
      </c>
      <c r="M108" s="8">
        <v>52764.11</v>
      </c>
      <c r="N108" s="8">
        <f t="shared" si="4"/>
        <v>30318.204123753017</v>
      </c>
    </row>
    <row r="109" spans="2:14" ht="45">
      <c r="B109" s="9" t="s">
        <v>1479</v>
      </c>
      <c r="C109" s="9" t="s">
        <v>1480</v>
      </c>
      <c r="D109" s="9" t="s">
        <v>2151</v>
      </c>
      <c r="E109" s="9" t="s">
        <v>1479</v>
      </c>
      <c r="F109" s="7" t="s">
        <v>2393</v>
      </c>
      <c r="G109" s="9" t="s">
        <v>1582</v>
      </c>
      <c r="H109" s="9" t="s">
        <v>1577</v>
      </c>
      <c r="I109" s="8">
        <v>173083.07</v>
      </c>
      <c r="J109" s="8">
        <v>44251.222699197795</v>
      </c>
      <c r="K109" s="8">
        <v>0</v>
      </c>
      <c r="L109" s="8">
        <f t="shared" si="3"/>
        <v>44251.222699197795</v>
      </c>
      <c r="M109" s="8">
        <v>124204.41</v>
      </c>
      <c r="N109" s="8">
        <f t="shared" si="4"/>
        <v>79953.187300802208</v>
      </c>
    </row>
    <row r="110" spans="2:14" ht="45">
      <c r="B110" s="9" t="s">
        <v>100</v>
      </c>
      <c r="C110" s="9" t="s">
        <v>101</v>
      </c>
      <c r="D110" s="9" t="s">
        <v>2019</v>
      </c>
      <c r="E110" s="9" t="s">
        <v>100</v>
      </c>
      <c r="F110" s="7" t="s">
        <v>2699</v>
      </c>
      <c r="G110" s="9" t="s">
        <v>1582</v>
      </c>
      <c r="H110" s="9" t="s">
        <v>1581</v>
      </c>
      <c r="I110" s="8">
        <v>822097.54</v>
      </c>
      <c r="J110" s="8">
        <v>34749.343558282213</v>
      </c>
      <c r="K110" s="8">
        <v>0</v>
      </c>
      <c r="L110" s="8">
        <f t="shared" si="3"/>
        <v>34749.343558282213</v>
      </c>
      <c r="M110" s="8">
        <v>109010.13</v>
      </c>
      <c r="N110" s="8">
        <f t="shared" si="4"/>
        <v>74260.786441717792</v>
      </c>
    </row>
    <row r="111" spans="2:14" ht="60">
      <c r="B111" s="9" t="s">
        <v>656</v>
      </c>
      <c r="C111" s="9" t="s">
        <v>657</v>
      </c>
      <c r="D111" s="9" t="s">
        <v>2039</v>
      </c>
      <c r="E111" s="9" t="s">
        <v>656</v>
      </c>
      <c r="F111" s="7" t="s">
        <v>3671</v>
      </c>
      <c r="G111" s="9" t="s">
        <v>1578</v>
      </c>
      <c r="H111" s="9" t="s">
        <v>1577</v>
      </c>
      <c r="I111" s="8">
        <v>430704.32</v>
      </c>
      <c r="J111" s="8">
        <v>385474.07049482228</v>
      </c>
      <c r="K111" s="8">
        <v>0</v>
      </c>
      <c r="L111" s="8">
        <f t="shared" si="3"/>
        <v>385474.07049482228</v>
      </c>
      <c r="M111" s="8">
        <v>215266.02</v>
      </c>
      <c r="N111" s="8">
        <f t="shared" si="4"/>
        <v>-170208.0504948223</v>
      </c>
    </row>
    <row r="112" spans="2:14" ht="45">
      <c r="B112" s="9" t="s">
        <v>1563</v>
      </c>
      <c r="C112" s="9" t="s">
        <v>1794</v>
      </c>
      <c r="D112" s="9" t="s">
        <v>1793</v>
      </c>
      <c r="E112" s="9" t="s">
        <v>1563</v>
      </c>
      <c r="F112" s="7" t="s">
        <v>3672</v>
      </c>
      <c r="G112" s="9" t="s">
        <v>1578</v>
      </c>
      <c r="H112" s="9" t="s">
        <v>1581</v>
      </c>
      <c r="I112" s="8">
        <v>341018820.10000002</v>
      </c>
      <c r="J112" s="8">
        <v>47150737.705521479</v>
      </c>
      <c r="K112" s="8">
        <v>62213939.020000003</v>
      </c>
      <c r="L112" s="8">
        <f t="shared" si="3"/>
        <v>109364676.72552148</v>
      </c>
      <c r="M112" s="8">
        <v>237656015.72999999</v>
      </c>
      <c r="N112" s="8">
        <f t="shared" si="4"/>
        <v>128291339.00447851</v>
      </c>
    </row>
    <row r="113" spans="2:14" ht="45">
      <c r="B113" s="9" t="s">
        <v>103</v>
      </c>
      <c r="C113" s="9" t="s">
        <v>104</v>
      </c>
      <c r="D113" s="9" t="s">
        <v>2733</v>
      </c>
      <c r="E113" s="9" t="s">
        <v>103</v>
      </c>
      <c r="F113" s="7" t="s">
        <v>2658</v>
      </c>
      <c r="G113" s="9" t="s">
        <v>1582</v>
      </c>
      <c r="H113" s="9" t="s">
        <v>1581</v>
      </c>
      <c r="I113" s="8">
        <v>60562.61</v>
      </c>
      <c r="J113" s="8">
        <v>7746.385542168674</v>
      </c>
      <c r="K113" s="8">
        <v>0</v>
      </c>
      <c r="L113" s="8">
        <f t="shared" si="3"/>
        <v>7746.385542168674</v>
      </c>
      <c r="M113" s="8">
        <v>14207.99</v>
      </c>
      <c r="N113" s="8">
        <f t="shared" si="4"/>
        <v>6461.6044578313258</v>
      </c>
    </row>
    <row r="114" spans="2:14" ht="30">
      <c r="B114" s="9" t="s">
        <v>680</v>
      </c>
      <c r="C114" s="9" t="s">
        <v>681</v>
      </c>
      <c r="D114" s="9" t="s">
        <v>1838</v>
      </c>
      <c r="E114" s="9" t="s">
        <v>680</v>
      </c>
      <c r="F114" s="7" t="s">
        <v>2629</v>
      </c>
      <c r="G114" s="9" t="s">
        <v>1582</v>
      </c>
      <c r="H114" s="9" t="s">
        <v>1581</v>
      </c>
      <c r="I114" s="8">
        <v>10147897.050000001</v>
      </c>
      <c r="J114" s="8">
        <v>818016.98795180721</v>
      </c>
      <c r="K114" s="8">
        <v>0</v>
      </c>
      <c r="L114" s="8">
        <f t="shared" si="3"/>
        <v>818016.98795180721</v>
      </c>
      <c r="M114" s="8">
        <v>2232537.35</v>
      </c>
      <c r="N114" s="8">
        <f t="shared" si="4"/>
        <v>1414520.3620481929</v>
      </c>
    </row>
    <row r="115" spans="2:14" ht="45">
      <c r="B115" s="9" t="s">
        <v>106</v>
      </c>
      <c r="C115" s="9" t="s">
        <v>107</v>
      </c>
      <c r="D115" s="9" t="s">
        <v>2018</v>
      </c>
      <c r="E115" s="9" t="s">
        <v>106</v>
      </c>
      <c r="F115" s="7" t="s">
        <v>2344</v>
      </c>
      <c r="G115" s="9" t="s">
        <v>1578</v>
      </c>
      <c r="H115" s="9" t="s">
        <v>1581</v>
      </c>
      <c r="I115" s="8">
        <v>174194</v>
      </c>
      <c r="J115" s="8">
        <v>115550.50998062808</v>
      </c>
      <c r="K115" s="8">
        <v>0</v>
      </c>
      <c r="L115" s="8">
        <f t="shared" si="3"/>
        <v>115550.50998062808</v>
      </c>
      <c r="M115" s="8">
        <v>163045.57999999999</v>
      </c>
      <c r="N115" s="8">
        <f t="shared" si="4"/>
        <v>47495.070019371909</v>
      </c>
    </row>
    <row r="116" spans="2:14" ht="60">
      <c r="B116" s="9" t="s">
        <v>1319</v>
      </c>
      <c r="C116" s="9" t="s">
        <v>1320</v>
      </c>
      <c r="D116" s="9" t="s">
        <v>2017</v>
      </c>
      <c r="E116" s="9" t="s">
        <v>1319</v>
      </c>
      <c r="F116" s="7" t="s">
        <v>2493</v>
      </c>
      <c r="G116" s="9" t="s">
        <v>1582</v>
      </c>
      <c r="H116" s="9" t="s">
        <v>1581</v>
      </c>
      <c r="I116" s="8">
        <v>274712959.18000001</v>
      </c>
      <c r="J116" s="8">
        <v>36544303.745562129</v>
      </c>
      <c r="K116" s="8">
        <v>0</v>
      </c>
      <c r="L116" s="8">
        <f t="shared" si="3"/>
        <v>36544303.745562129</v>
      </c>
      <c r="M116" s="8">
        <v>94281487.590000004</v>
      </c>
      <c r="N116" s="8">
        <f t="shared" si="4"/>
        <v>57737183.844437875</v>
      </c>
    </row>
    <row r="117" spans="2:14" ht="60">
      <c r="B117" s="9" t="s">
        <v>683</v>
      </c>
      <c r="C117" s="9" t="s">
        <v>684</v>
      </c>
      <c r="D117" s="9" t="s">
        <v>2016</v>
      </c>
      <c r="E117" s="9" t="s">
        <v>683</v>
      </c>
      <c r="F117" s="7" t="s">
        <v>2445</v>
      </c>
      <c r="G117" s="9" t="s">
        <v>1578</v>
      </c>
      <c r="H117" s="9" t="s">
        <v>1581</v>
      </c>
      <c r="I117" s="8">
        <v>1185618.83</v>
      </c>
      <c r="J117" s="8">
        <v>676517.17807849869</v>
      </c>
      <c r="K117" s="8">
        <v>0</v>
      </c>
      <c r="L117" s="8">
        <f t="shared" si="3"/>
        <v>676517.17807849869</v>
      </c>
      <c r="M117" s="8">
        <v>1005879.02</v>
      </c>
      <c r="N117" s="8">
        <f t="shared" si="4"/>
        <v>329361.84192150133</v>
      </c>
    </row>
    <row r="118" spans="2:14" ht="45">
      <c r="B118" s="9" t="s">
        <v>686</v>
      </c>
      <c r="C118" s="9" t="s">
        <v>687</v>
      </c>
      <c r="D118" s="9" t="s">
        <v>2014</v>
      </c>
      <c r="E118" s="9" t="s">
        <v>686</v>
      </c>
      <c r="F118" s="7" t="s">
        <v>2248</v>
      </c>
      <c r="G118" s="9" t="s">
        <v>1578</v>
      </c>
      <c r="H118" s="9" t="s">
        <v>1581</v>
      </c>
      <c r="I118" s="8">
        <v>426111.14</v>
      </c>
      <c r="J118" s="8">
        <v>3118.7450980392159</v>
      </c>
      <c r="K118" s="8">
        <v>0</v>
      </c>
      <c r="L118" s="8">
        <f t="shared" si="3"/>
        <v>3118.7450980392159</v>
      </c>
      <c r="M118" s="8">
        <v>190556.9</v>
      </c>
      <c r="N118" s="8">
        <f t="shared" si="4"/>
        <v>187438.15490196078</v>
      </c>
    </row>
    <row r="119" spans="2:14" ht="45">
      <c r="B119" s="9" t="s">
        <v>1078</v>
      </c>
      <c r="C119" s="9" t="s">
        <v>1079</v>
      </c>
      <c r="D119" s="9" t="s">
        <v>2015</v>
      </c>
      <c r="E119" s="9" t="s">
        <v>1078</v>
      </c>
      <c r="F119" s="7" t="s">
        <v>2248</v>
      </c>
      <c r="G119" s="9" t="s">
        <v>1578</v>
      </c>
      <c r="H119" s="9" t="s">
        <v>1581</v>
      </c>
      <c r="I119" s="8">
        <v>14558658.770000001</v>
      </c>
      <c r="J119" s="8">
        <v>3485917.7743223757</v>
      </c>
      <c r="K119" s="8">
        <v>0</v>
      </c>
      <c r="L119" s="8">
        <f t="shared" si="3"/>
        <v>3485917.7743223757</v>
      </c>
      <c r="M119" s="8">
        <v>3633841.22</v>
      </c>
      <c r="N119" s="8">
        <f t="shared" si="4"/>
        <v>147923.44567762455</v>
      </c>
    </row>
    <row r="120" spans="2:14" ht="45">
      <c r="B120" s="9" t="s">
        <v>97</v>
      </c>
      <c r="C120" s="9" t="s">
        <v>98</v>
      </c>
      <c r="D120" s="9" t="s">
        <v>2021</v>
      </c>
      <c r="E120" s="9" t="s">
        <v>97</v>
      </c>
      <c r="F120" s="7" t="s">
        <v>3673</v>
      </c>
      <c r="G120" s="9" t="s">
        <v>1578</v>
      </c>
      <c r="H120" s="9" t="s">
        <v>1581</v>
      </c>
      <c r="I120" s="8">
        <v>3678842.43</v>
      </c>
      <c r="J120" s="8">
        <v>1134305.5391256025</v>
      </c>
      <c r="K120" s="8">
        <v>0</v>
      </c>
      <c r="L120" s="8">
        <f t="shared" si="3"/>
        <v>1134305.5391256025</v>
      </c>
      <c r="M120" s="8">
        <v>1189001.8799999999</v>
      </c>
      <c r="N120" s="8">
        <f t="shared" si="4"/>
        <v>54696.340874397429</v>
      </c>
    </row>
    <row r="121" spans="2:14" ht="30">
      <c r="B121" s="9" t="s">
        <v>111</v>
      </c>
      <c r="C121" s="9" t="s">
        <v>112</v>
      </c>
      <c r="D121" s="9" t="s">
        <v>2761</v>
      </c>
      <c r="E121" s="9" t="s">
        <v>111</v>
      </c>
      <c r="F121" s="7" t="s">
        <v>2011</v>
      </c>
      <c r="G121" s="9" t="s">
        <v>1578</v>
      </c>
      <c r="H121" s="9" t="s">
        <v>1577</v>
      </c>
      <c r="I121" s="8">
        <v>2251849.9</v>
      </c>
      <c r="J121" s="8">
        <v>1446901.7480268334</v>
      </c>
      <c r="K121" s="8">
        <v>0</v>
      </c>
      <c r="L121" s="8">
        <f t="shared" si="3"/>
        <v>1446901.7480268334</v>
      </c>
      <c r="M121" s="8">
        <v>1182671.57</v>
      </c>
      <c r="N121" s="8">
        <f t="shared" si="4"/>
        <v>-264230.17802683334</v>
      </c>
    </row>
    <row r="122" spans="2:14" ht="30">
      <c r="B122" s="9" t="s">
        <v>114</v>
      </c>
      <c r="C122" s="9" t="s">
        <v>115</v>
      </c>
      <c r="D122" s="9" t="s">
        <v>2010</v>
      </c>
      <c r="E122" s="9" t="s">
        <v>114</v>
      </c>
      <c r="F122" s="7" t="s">
        <v>2009</v>
      </c>
      <c r="G122" s="9" t="s">
        <v>1582</v>
      </c>
      <c r="H122" s="9" t="s">
        <v>1581</v>
      </c>
      <c r="I122" s="8">
        <v>290418298.00999999</v>
      </c>
      <c r="J122" s="8">
        <v>69108279.49000001</v>
      </c>
      <c r="K122" s="8">
        <v>0</v>
      </c>
      <c r="L122" s="8">
        <f t="shared" si="3"/>
        <v>69108279.49000001</v>
      </c>
      <c r="M122" s="8">
        <v>269566264.20999998</v>
      </c>
      <c r="N122" s="8">
        <f t="shared" si="4"/>
        <v>200457984.71999997</v>
      </c>
    </row>
    <row r="123" spans="2:14" ht="60">
      <c r="B123" s="9" t="s">
        <v>117</v>
      </c>
      <c r="C123" s="9" t="s">
        <v>118</v>
      </c>
      <c r="D123" s="9" t="s">
        <v>2008</v>
      </c>
      <c r="E123" s="9" t="s">
        <v>117</v>
      </c>
      <c r="F123" s="7" t="s">
        <v>2600</v>
      </c>
      <c r="G123" s="9" t="s">
        <v>1582</v>
      </c>
      <c r="H123" s="9" t="s">
        <v>1581</v>
      </c>
      <c r="I123" s="8">
        <v>358996.91</v>
      </c>
      <c r="J123" s="8">
        <v>7194.5345911949689</v>
      </c>
      <c r="K123" s="8">
        <v>0</v>
      </c>
      <c r="L123" s="8">
        <f t="shared" si="3"/>
        <v>7194.5345911949689</v>
      </c>
      <c r="M123" s="8">
        <v>52269.95</v>
      </c>
      <c r="N123" s="8">
        <f t="shared" si="4"/>
        <v>45075.415408805027</v>
      </c>
    </row>
    <row r="124" spans="2:14" ht="60">
      <c r="B124" s="9" t="s">
        <v>692</v>
      </c>
      <c r="C124" s="9" t="s">
        <v>693</v>
      </c>
      <c r="D124" s="9" t="s">
        <v>2003</v>
      </c>
      <c r="E124" s="9" t="s">
        <v>692</v>
      </c>
      <c r="F124" s="7" t="s">
        <v>2329</v>
      </c>
      <c r="G124" s="9" t="s">
        <v>1578</v>
      </c>
      <c r="H124" s="9" t="s">
        <v>1581</v>
      </c>
      <c r="I124" s="8">
        <v>453150.69</v>
      </c>
      <c r="J124" s="8">
        <v>132630.6142840363</v>
      </c>
      <c r="K124" s="8">
        <v>0</v>
      </c>
      <c r="L124" s="8">
        <f t="shared" si="3"/>
        <v>132630.6142840363</v>
      </c>
      <c r="M124" s="8">
        <v>172695.73</v>
      </c>
      <c r="N124" s="8">
        <f t="shared" si="4"/>
        <v>40065.115715963708</v>
      </c>
    </row>
    <row r="125" spans="2:14" ht="45">
      <c r="B125" s="9" t="s">
        <v>120</v>
      </c>
      <c r="C125" s="9" t="s">
        <v>121</v>
      </c>
      <c r="D125" s="9" t="s">
        <v>2002</v>
      </c>
      <c r="E125" s="9" t="s">
        <v>120</v>
      </c>
      <c r="F125" s="7" t="s">
        <v>2262</v>
      </c>
      <c r="G125" s="9" t="s">
        <v>1582</v>
      </c>
      <c r="H125" s="9" t="s">
        <v>1581</v>
      </c>
      <c r="I125" s="8">
        <v>244148.3</v>
      </c>
      <c r="J125" s="8">
        <v>38673.693749999999</v>
      </c>
      <c r="K125" s="8">
        <v>0</v>
      </c>
      <c r="L125" s="8">
        <f t="shared" si="3"/>
        <v>38673.693749999999</v>
      </c>
      <c r="M125" s="8">
        <v>71095.98</v>
      </c>
      <c r="N125" s="8">
        <f t="shared" si="4"/>
        <v>32422.286249999997</v>
      </c>
    </row>
    <row r="126" spans="2:14" ht="45">
      <c r="B126" s="9" t="s">
        <v>1162</v>
      </c>
      <c r="C126" s="9" t="s">
        <v>1163</v>
      </c>
      <c r="D126" s="9" t="s">
        <v>2001</v>
      </c>
      <c r="E126" s="9" t="s">
        <v>1162</v>
      </c>
      <c r="F126" s="7" t="s">
        <v>2316</v>
      </c>
      <c r="G126" s="9" t="s">
        <v>1578</v>
      </c>
      <c r="H126" s="9" t="s">
        <v>1581</v>
      </c>
      <c r="I126" s="8">
        <v>48979164.18</v>
      </c>
      <c r="J126" s="8">
        <v>7135826.5524861887</v>
      </c>
      <c r="K126" s="8">
        <v>0</v>
      </c>
      <c r="L126" s="8">
        <f t="shared" si="3"/>
        <v>7135826.5524861887</v>
      </c>
      <c r="M126" s="8">
        <v>13851307.630000001</v>
      </c>
      <c r="N126" s="8">
        <f t="shared" si="4"/>
        <v>6715481.0775138121</v>
      </c>
    </row>
    <row r="127" spans="2:14" ht="30">
      <c r="B127" s="9" t="s">
        <v>123</v>
      </c>
      <c r="C127" s="9" t="s">
        <v>124</v>
      </c>
      <c r="D127" s="9" t="s">
        <v>2000</v>
      </c>
      <c r="E127" s="9" t="s">
        <v>123</v>
      </c>
      <c r="F127" s="7" t="s">
        <v>1999</v>
      </c>
      <c r="G127" s="9" t="s">
        <v>1582</v>
      </c>
      <c r="H127" s="9" t="s">
        <v>1581</v>
      </c>
      <c r="I127" s="8">
        <v>879800.62</v>
      </c>
      <c r="J127" s="8">
        <v>273762.96871503768</v>
      </c>
      <c r="K127" s="8">
        <v>0</v>
      </c>
      <c r="L127" s="8">
        <f t="shared" si="3"/>
        <v>273762.96871503768</v>
      </c>
      <c r="M127" s="8">
        <v>420896.62</v>
      </c>
      <c r="N127" s="8">
        <f t="shared" si="4"/>
        <v>147133.65128496231</v>
      </c>
    </row>
    <row r="128" spans="2:14" ht="30">
      <c r="B128" s="9" t="s">
        <v>126</v>
      </c>
      <c r="C128" s="9" t="s">
        <v>127</v>
      </c>
      <c r="D128" s="9" t="s">
        <v>1998</v>
      </c>
      <c r="E128" s="9" t="s">
        <v>126</v>
      </c>
      <c r="F128" s="7" t="s">
        <v>1997</v>
      </c>
      <c r="G128" s="9" t="s">
        <v>1582</v>
      </c>
      <c r="H128" s="9" t="s">
        <v>1581</v>
      </c>
      <c r="I128" s="8">
        <v>58842198.359999999</v>
      </c>
      <c r="J128" s="8">
        <v>19569075.573248409</v>
      </c>
      <c r="K128" s="8">
        <v>0</v>
      </c>
      <c r="L128" s="8">
        <f t="shared" si="3"/>
        <v>19569075.573248409</v>
      </c>
      <c r="M128" s="8">
        <v>20206410.91</v>
      </c>
      <c r="N128" s="8">
        <f t="shared" si="4"/>
        <v>637335.33675159141</v>
      </c>
    </row>
    <row r="129" spans="2:14" ht="60">
      <c r="B129" s="9" t="s">
        <v>701</v>
      </c>
      <c r="C129" s="9" t="s">
        <v>702</v>
      </c>
      <c r="D129" s="9" t="s">
        <v>1996</v>
      </c>
      <c r="E129" s="9" t="s">
        <v>701</v>
      </c>
      <c r="F129" s="7" t="s">
        <v>2595</v>
      </c>
      <c r="G129" s="9" t="s">
        <v>1578</v>
      </c>
      <c r="H129" s="9" t="s">
        <v>1581</v>
      </c>
      <c r="I129" s="8">
        <v>37985736.520000003</v>
      </c>
      <c r="J129" s="8">
        <v>7609736.4671052629</v>
      </c>
      <c r="K129" s="8">
        <v>34361194.25</v>
      </c>
      <c r="L129" s="8">
        <f t="shared" si="3"/>
        <v>41970930.717105262</v>
      </c>
      <c r="M129" s="8">
        <v>23786668.210000001</v>
      </c>
      <c r="N129" s="8">
        <f t="shared" si="4"/>
        <v>-18184262.507105261</v>
      </c>
    </row>
    <row r="130" spans="2:14" ht="45">
      <c r="B130" s="9" t="s">
        <v>704</v>
      </c>
      <c r="C130" s="9" t="s">
        <v>705</v>
      </c>
      <c r="D130" s="9" t="s">
        <v>1995</v>
      </c>
      <c r="E130" s="9" t="s">
        <v>704</v>
      </c>
      <c r="F130" s="7" t="s">
        <v>2597</v>
      </c>
      <c r="G130" s="9" t="s">
        <v>1582</v>
      </c>
      <c r="H130" s="9" t="s">
        <v>1581</v>
      </c>
      <c r="I130" s="8">
        <v>333140566.04000002</v>
      </c>
      <c r="J130" s="8">
        <v>19044403.641509436</v>
      </c>
      <c r="K130" s="8">
        <v>0</v>
      </c>
      <c r="L130" s="8">
        <f t="shared" si="3"/>
        <v>19044403.641509436</v>
      </c>
      <c r="M130" s="8">
        <v>44174439.060000002</v>
      </c>
      <c r="N130" s="8">
        <f t="shared" si="4"/>
        <v>25130035.418490566</v>
      </c>
    </row>
    <row r="131" spans="2:14" ht="45">
      <c r="B131" s="9" t="s">
        <v>698</v>
      </c>
      <c r="C131" s="9" t="s">
        <v>699</v>
      </c>
      <c r="D131" s="9" t="s">
        <v>1992</v>
      </c>
      <c r="E131" s="9" t="s">
        <v>698</v>
      </c>
      <c r="F131" s="7" t="s">
        <v>2319</v>
      </c>
      <c r="G131" s="9" t="s">
        <v>1578</v>
      </c>
      <c r="H131" s="9" t="s">
        <v>1577</v>
      </c>
      <c r="I131" s="8">
        <v>86959</v>
      </c>
      <c r="J131" s="8">
        <v>38644.560859119731</v>
      </c>
      <c r="K131" s="8">
        <v>0</v>
      </c>
      <c r="L131" s="8">
        <f t="shared" si="3"/>
        <v>38644.560859119731</v>
      </c>
      <c r="M131" s="8">
        <v>14052.57</v>
      </c>
      <c r="N131" s="8">
        <f t="shared" si="4"/>
        <v>-24591.990859119731</v>
      </c>
    </row>
    <row r="132" spans="2:14" ht="45">
      <c r="B132" s="9" t="s">
        <v>129</v>
      </c>
      <c r="C132" s="9" t="s">
        <v>130</v>
      </c>
      <c r="D132" s="9" t="s">
        <v>1991</v>
      </c>
      <c r="E132" s="9" t="s">
        <v>129</v>
      </c>
      <c r="F132" s="7" t="s">
        <v>2470</v>
      </c>
      <c r="G132" s="9" t="s">
        <v>1582</v>
      </c>
      <c r="H132" s="9" t="s">
        <v>1581</v>
      </c>
      <c r="I132" s="8">
        <v>6017484.96</v>
      </c>
      <c r="J132" s="8">
        <v>33495.414847161577</v>
      </c>
      <c r="K132" s="8">
        <v>0</v>
      </c>
      <c r="L132" s="8">
        <f t="shared" si="3"/>
        <v>33495.414847161577</v>
      </c>
      <c r="M132" s="8">
        <v>661923.35</v>
      </c>
      <c r="N132" s="8">
        <f t="shared" si="4"/>
        <v>628427.93515283836</v>
      </c>
    </row>
    <row r="133" spans="2:14" ht="60">
      <c r="B133" s="9" t="s">
        <v>132</v>
      </c>
      <c r="C133" s="9" t="s">
        <v>133</v>
      </c>
      <c r="D133" s="9" t="s">
        <v>1990</v>
      </c>
      <c r="E133" s="9" t="s">
        <v>132</v>
      </c>
      <c r="F133" s="7" t="s">
        <v>2694</v>
      </c>
      <c r="G133" s="9" t="s">
        <v>1582</v>
      </c>
      <c r="H133" s="9" t="s">
        <v>1581</v>
      </c>
      <c r="I133" s="8">
        <v>4148856.53</v>
      </c>
      <c r="J133" s="8">
        <v>250408.37423312885</v>
      </c>
      <c r="K133" s="8">
        <v>0</v>
      </c>
      <c r="L133" s="8">
        <f t="shared" si="3"/>
        <v>250408.37423312885</v>
      </c>
      <c r="M133" s="8">
        <v>560925.4</v>
      </c>
      <c r="N133" s="8">
        <f t="shared" si="4"/>
        <v>310517.02576687117</v>
      </c>
    </row>
    <row r="134" spans="2:14" ht="75">
      <c r="B134" s="9" t="s">
        <v>3604</v>
      </c>
      <c r="C134" s="9" t="s">
        <v>3390</v>
      </c>
      <c r="D134" s="9" t="s">
        <v>3605</v>
      </c>
      <c r="E134" s="9" t="s">
        <v>3604</v>
      </c>
      <c r="F134" s="7" t="s">
        <v>3674</v>
      </c>
      <c r="G134" s="9" t="s">
        <v>3675</v>
      </c>
      <c r="H134" s="9" t="s">
        <v>1581</v>
      </c>
      <c r="I134" s="8">
        <v>26313.77</v>
      </c>
      <c r="J134" s="6">
        <v>0.01</v>
      </c>
      <c r="K134" s="8">
        <v>0</v>
      </c>
      <c r="L134" s="8">
        <f t="shared" si="3"/>
        <v>0.01</v>
      </c>
      <c r="M134" s="8">
        <v>19666.91</v>
      </c>
      <c r="N134" s="8">
        <f t="shared" si="4"/>
        <v>19666.900000000001</v>
      </c>
    </row>
    <row r="135" spans="2:14" ht="30">
      <c r="B135" s="9" t="s">
        <v>1337</v>
      </c>
      <c r="C135" s="9" t="s">
        <v>1338</v>
      </c>
      <c r="D135" s="9" t="s">
        <v>1989</v>
      </c>
      <c r="E135" s="9" t="s">
        <v>1337</v>
      </c>
      <c r="F135" s="7" t="s">
        <v>2394</v>
      </c>
      <c r="G135" s="9" t="s">
        <v>1582</v>
      </c>
      <c r="H135" s="9" t="s">
        <v>1581</v>
      </c>
      <c r="I135" s="8">
        <v>21114809.98</v>
      </c>
      <c r="J135" s="8">
        <v>5589965.823029412</v>
      </c>
      <c r="K135" s="8">
        <v>0</v>
      </c>
      <c r="L135" s="8">
        <f t="shared" si="3"/>
        <v>5589965.823029412</v>
      </c>
      <c r="M135" s="8">
        <v>5872028.6500000004</v>
      </c>
      <c r="N135" s="8">
        <f t="shared" si="4"/>
        <v>282062.82697058842</v>
      </c>
    </row>
    <row r="136" spans="2:14" ht="60">
      <c r="B136" s="9" t="s">
        <v>3282</v>
      </c>
      <c r="C136" s="9" t="s">
        <v>3283</v>
      </c>
      <c r="D136" s="9" t="s">
        <v>3609</v>
      </c>
      <c r="E136" s="9" t="s">
        <v>3282</v>
      </c>
      <c r="F136" s="7" t="s">
        <v>3676</v>
      </c>
      <c r="G136" s="9" t="s">
        <v>1582</v>
      </c>
      <c r="H136" s="9" t="s">
        <v>1581</v>
      </c>
      <c r="I136" s="8">
        <v>45782.43</v>
      </c>
      <c r="J136" s="6">
        <v>0.01</v>
      </c>
      <c r="K136" s="8">
        <v>0</v>
      </c>
      <c r="L136" s="8">
        <f t="shared" ref="L136:L199" si="5">J136+K136</f>
        <v>0.01</v>
      </c>
      <c r="M136" s="8">
        <v>32047.7</v>
      </c>
      <c r="N136" s="8">
        <f t="shared" ref="N136:N199" si="6">M136-L136</f>
        <v>32047.690000000002</v>
      </c>
    </row>
    <row r="137" spans="2:14" ht="45">
      <c r="B137" s="9" t="s">
        <v>135</v>
      </c>
      <c r="C137" s="9" t="s">
        <v>136</v>
      </c>
      <c r="D137" s="9" t="s">
        <v>2006</v>
      </c>
      <c r="E137" s="9" t="s">
        <v>135</v>
      </c>
      <c r="F137" s="7" t="s">
        <v>2420</v>
      </c>
      <c r="G137" s="9" t="s">
        <v>1582</v>
      </c>
      <c r="H137" s="9" t="s">
        <v>1581</v>
      </c>
      <c r="I137" s="8">
        <v>586344.71</v>
      </c>
      <c r="J137" s="8">
        <v>177767.88238081476</v>
      </c>
      <c r="K137" s="8">
        <v>0</v>
      </c>
      <c r="L137" s="8">
        <f t="shared" si="5"/>
        <v>177767.88238081476</v>
      </c>
      <c r="M137" s="8">
        <v>213194.94</v>
      </c>
      <c r="N137" s="8">
        <f t="shared" si="6"/>
        <v>35427.057619185245</v>
      </c>
    </row>
    <row r="138" spans="2:14" ht="30">
      <c r="B138" s="9" t="s">
        <v>3288</v>
      </c>
      <c r="C138" s="9" t="s">
        <v>708</v>
      </c>
      <c r="D138" s="9" t="s">
        <v>1988</v>
      </c>
      <c r="E138" s="9" t="s">
        <v>3288</v>
      </c>
      <c r="F138" s="7" t="s">
        <v>1987</v>
      </c>
      <c r="G138" s="9" t="s">
        <v>1582</v>
      </c>
      <c r="H138" s="9" t="s">
        <v>1581</v>
      </c>
      <c r="I138" s="8">
        <v>125844.45</v>
      </c>
      <c r="J138" s="8">
        <v>37953.553381506354</v>
      </c>
      <c r="K138" s="8">
        <v>0</v>
      </c>
      <c r="L138" s="8">
        <f t="shared" si="5"/>
        <v>37953.553381506354</v>
      </c>
      <c r="M138" s="8">
        <v>102689.07</v>
      </c>
      <c r="N138" s="8">
        <f t="shared" si="6"/>
        <v>64735.516618493653</v>
      </c>
    </row>
    <row r="139" spans="2:14" ht="45">
      <c r="B139" s="9" t="s">
        <v>137</v>
      </c>
      <c r="C139" s="9" t="s">
        <v>138</v>
      </c>
      <c r="D139" s="9" t="s">
        <v>1986</v>
      </c>
      <c r="E139" s="9" t="s">
        <v>137</v>
      </c>
      <c r="F139" s="7" t="s">
        <v>2381</v>
      </c>
      <c r="G139" s="9" t="s">
        <v>1578</v>
      </c>
      <c r="H139" s="9" t="s">
        <v>1577</v>
      </c>
      <c r="I139" s="8">
        <v>357865.68</v>
      </c>
      <c r="J139" s="8">
        <v>61453.806377177956</v>
      </c>
      <c r="K139" s="8">
        <v>0</v>
      </c>
      <c r="L139" s="8">
        <f t="shared" si="5"/>
        <v>61453.806377177956</v>
      </c>
      <c r="M139" s="8">
        <v>39365.22</v>
      </c>
      <c r="N139" s="8">
        <f t="shared" si="6"/>
        <v>-22088.586377177955</v>
      </c>
    </row>
    <row r="140" spans="2:14" ht="45">
      <c r="B140" s="9" t="s">
        <v>710</v>
      </c>
      <c r="C140" s="9" t="s">
        <v>711</v>
      </c>
      <c r="D140" s="9" t="s">
        <v>2154</v>
      </c>
      <c r="E140" s="9" t="s">
        <v>710</v>
      </c>
      <c r="F140" s="7" t="s">
        <v>2330</v>
      </c>
      <c r="G140" s="9" t="s">
        <v>1578</v>
      </c>
      <c r="H140" s="9" t="s">
        <v>1577</v>
      </c>
      <c r="I140" s="8">
        <v>8639.0300000000007</v>
      </c>
      <c r="J140" s="8">
        <v>6973.6610733581801</v>
      </c>
      <c r="K140" s="8">
        <v>0</v>
      </c>
      <c r="L140" s="8">
        <f t="shared" si="5"/>
        <v>6973.6610733581801</v>
      </c>
      <c r="M140" s="8">
        <v>8898.2000000000007</v>
      </c>
      <c r="N140" s="8">
        <f t="shared" si="6"/>
        <v>1924.5389266418206</v>
      </c>
    </row>
    <row r="141" spans="2:14" ht="60">
      <c r="B141" s="9" t="s">
        <v>143</v>
      </c>
      <c r="C141" s="9" t="s">
        <v>144</v>
      </c>
      <c r="D141" s="9" t="s">
        <v>1982</v>
      </c>
      <c r="E141" s="9" t="s">
        <v>143</v>
      </c>
      <c r="F141" s="7" t="s">
        <v>2255</v>
      </c>
      <c r="G141" s="9" t="s">
        <v>1582</v>
      </c>
      <c r="H141" s="9" t="s">
        <v>1581</v>
      </c>
      <c r="I141" s="8">
        <v>10417668.09</v>
      </c>
      <c r="J141" s="8">
        <v>988109.26250000007</v>
      </c>
      <c r="K141" s="8">
        <v>0</v>
      </c>
      <c r="L141" s="8">
        <f t="shared" si="5"/>
        <v>988109.26250000007</v>
      </c>
      <c r="M141" s="8">
        <v>2166874.96</v>
      </c>
      <c r="N141" s="8">
        <f t="shared" si="6"/>
        <v>1178765.6974999998</v>
      </c>
    </row>
    <row r="142" spans="2:14" ht="60">
      <c r="B142" s="9" t="s">
        <v>515</v>
      </c>
      <c r="C142" s="9" t="s">
        <v>516</v>
      </c>
      <c r="D142" s="9" t="s">
        <v>1981</v>
      </c>
      <c r="E142" s="9" t="s">
        <v>515</v>
      </c>
      <c r="F142" s="7" t="s">
        <v>2478</v>
      </c>
      <c r="G142" s="9" t="s">
        <v>1582</v>
      </c>
      <c r="H142" s="9" t="s">
        <v>1581</v>
      </c>
      <c r="I142" s="8">
        <v>27358751.93</v>
      </c>
      <c r="J142" s="8">
        <v>5125896.7493076697</v>
      </c>
      <c r="K142" s="8">
        <v>0</v>
      </c>
      <c r="L142" s="8">
        <f t="shared" si="5"/>
        <v>5125896.7493076697</v>
      </c>
      <c r="M142" s="8">
        <v>3830225.27</v>
      </c>
      <c r="N142" s="8">
        <f t="shared" si="6"/>
        <v>-1295671.4793076697</v>
      </c>
    </row>
    <row r="143" spans="2:14" ht="30">
      <c r="B143" s="9" t="s">
        <v>713</v>
      </c>
      <c r="C143" s="9" t="s">
        <v>714</v>
      </c>
      <c r="D143" s="9" t="s">
        <v>1980</v>
      </c>
      <c r="E143" s="9" t="s">
        <v>713</v>
      </c>
      <c r="F143" s="7" t="s">
        <v>2354</v>
      </c>
      <c r="G143" s="9" t="s">
        <v>1582</v>
      </c>
      <c r="H143" s="9" t="s">
        <v>1577</v>
      </c>
      <c r="I143" s="8">
        <v>849295.96</v>
      </c>
      <c r="J143" s="8">
        <v>487624.45308077941</v>
      </c>
      <c r="K143" s="8">
        <v>0</v>
      </c>
      <c r="L143" s="8">
        <f t="shared" si="5"/>
        <v>487624.45308077941</v>
      </c>
      <c r="M143" s="8">
        <v>229309.91</v>
      </c>
      <c r="N143" s="8">
        <f t="shared" si="6"/>
        <v>-258314.5430807794</v>
      </c>
    </row>
    <row r="144" spans="2:14" ht="45">
      <c r="B144" s="9" t="s">
        <v>146</v>
      </c>
      <c r="C144" s="9" t="s">
        <v>147</v>
      </c>
      <c r="D144" s="9" t="s">
        <v>1979</v>
      </c>
      <c r="E144" s="9" t="s">
        <v>146</v>
      </c>
      <c r="F144" s="7" t="s">
        <v>2624</v>
      </c>
      <c r="G144" s="9" t="s">
        <v>1582</v>
      </c>
      <c r="H144" s="9" t="s">
        <v>1581</v>
      </c>
      <c r="I144" s="8">
        <v>287767.19</v>
      </c>
      <c r="J144" s="8">
        <v>14442.493975903617</v>
      </c>
      <c r="K144" s="8">
        <v>0</v>
      </c>
      <c r="L144" s="8">
        <f t="shared" si="5"/>
        <v>14442.493975903617</v>
      </c>
      <c r="M144" s="8">
        <v>57553.440000000002</v>
      </c>
      <c r="N144" s="8">
        <f t="shared" si="6"/>
        <v>43110.946024096382</v>
      </c>
    </row>
    <row r="145" spans="2:14" ht="60">
      <c r="B145" s="9" t="s">
        <v>149</v>
      </c>
      <c r="C145" s="9" t="s">
        <v>150</v>
      </c>
      <c r="D145" s="9" t="s">
        <v>1978</v>
      </c>
      <c r="E145" s="9" t="s">
        <v>149</v>
      </c>
      <c r="F145" s="7" t="s">
        <v>2257</v>
      </c>
      <c r="G145" s="9" t="s">
        <v>1582</v>
      </c>
      <c r="H145" s="9" t="s">
        <v>1581</v>
      </c>
      <c r="I145" s="8">
        <v>112118.39</v>
      </c>
      <c r="J145" s="8">
        <v>9788.4249999999993</v>
      </c>
      <c r="K145" s="8">
        <v>0</v>
      </c>
      <c r="L145" s="8">
        <f t="shared" si="5"/>
        <v>9788.4249999999993</v>
      </c>
      <c r="M145" s="8">
        <v>26908.41</v>
      </c>
      <c r="N145" s="8">
        <f t="shared" si="6"/>
        <v>17119.985000000001</v>
      </c>
    </row>
    <row r="146" spans="2:14" ht="45">
      <c r="B146" s="9" t="s">
        <v>152</v>
      </c>
      <c r="C146" s="9" t="s">
        <v>153</v>
      </c>
      <c r="D146" s="9" t="s">
        <v>1977</v>
      </c>
      <c r="E146" s="9" t="s">
        <v>152</v>
      </c>
      <c r="F146" s="7" t="s">
        <v>2379</v>
      </c>
      <c r="G146" s="9" t="s">
        <v>1582</v>
      </c>
      <c r="H146" s="9" t="s">
        <v>1581</v>
      </c>
      <c r="I146" s="8">
        <v>2599865.2200000002</v>
      </c>
      <c r="J146" s="8">
        <v>938057.73765100236</v>
      </c>
      <c r="K146" s="8">
        <v>0</v>
      </c>
      <c r="L146" s="8">
        <f t="shared" si="5"/>
        <v>938057.73765100236</v>
      </c>
      <c r="M146" s="8">
        <v>784119.35</v>
      </c>
      <c r="N146" s="8">
        <f t="shared" si="6"/>
        <v>-153938.38765100238</v>
      </c>
    </row>
    <row r="147" spans="2:14" ht="45">
      <c r="B147" s="9" t="s">
        <v>719</v>
      </c>
      <c r="C147" s="9" t="s">
        <v>720</v>
      </c>
      <c r="D147" s="9" t="s">
        <v>1976</v>
      </c>
      <c r="E147" s="9" t="s">
        <v>719</v>
      </c>
      <c r="F147" s="7" t="s">
        <v>2416</v>
      </c>
      <c r="G147" s="9" t="s">
        <v>1578</v>
      </c>
      <c r="H147" s="9" t="s">
        <v>1581</v>
      </c>
      <c r="I147" s="8">
        <v>814956.73</v>
      </c>
      <c r="J147" s="8">
        <v>380429.78079768072</v>
      </c>
      <c r="K147" s="8">
        <v>0</v>
      </c>
      <c r="L147" s="8">
        <f t="shared" si="5"/>
        <v>380429.78079768072</v>
      </c>
      <c r="M147" s="8">
        <v>763858.94</v>
      </c>
      <c r="N147" s="8">
        <f t="shared" si="6"/>
        <v>383429.15920231922</v>
      </c>
    </row>
    <row r="148" spans="2:14" ht="30">
      <c r="B148" s="9" t="s">
        <v>722</v>
      </c>
      <c r="C148" s="9" t="s">
        <v>723</v>
      </c>
      <c r="D148" s="9" t="s">
        <v>1971</v>
      </c>
      <c r="E148" s="9" t="s">
        <v>722</v>
      </c>
      <c r="F148" s="7" t="s">
        <v>2447</v>
      </c>
      <c r="G148" s="9" t="s">
        <v>1582</v>
      </c>
      <c r="H148" s="9" t="s">
        <v>1577</v>
      </c>
      <c r="I148" s="8">
        <v>4064829.31</v>
      </c>
      <c r="J148" s="8">
        <v>2069321.3494551536</v>
      </c>
      <c r="K148" s="8">
        <v>0</v>
      </c>
      <c r="L148" s="8">
        <f t="shared" si="5"/>
        <v>2069321.3494551536</v>
      </c>
      <c r="M148" s="8">
        <v>1788524.9</v>
      </c>
      <c r="N148" s="8">
        <f t="shared" si="6"/>
        <v>-280796.44945515366</v>
      </c>
    </row>
    <row r="149" spans="2:14" ht="30">
      <c r="B149" s="9" t="s">
        <v>155</v>
      </c>
      <c r="C149" s="9" t="s">
        <v>156</v>
      </c>
      <c r="D149" s="9" t="s">
        <v>1970</v>
      </c>
      <c r="E149" s="9" t="s">
        <v>155</v>
      </c>
      <c r="F149" s="7" t="s">
        <v>2318</v>
      </c>
      <c r="G149" s="9" t="s">
        <v>1578</v>
      </c>
      <c r="H149" s="9" t="s">
        <v>1581</v>
      </c>
      <c r="I149" s="8">
        <v>136148.24</v>
      </c>
      <c r="J149" s="8">
        <v>62666.251948633653</v>
      </c>
      <c r="K149" s="8">
        <v>0</v>
      </c>
      <c r="L149" s="8">
        <f t="shared" si="5"/>
        <v>62666.251948633653</v>
      </c>
      <c r="M149" s="8">
        <v>41252.910000000003</v>
      </c>
      <c r="N149" s="8">
        <f t="shared" si="6"/>
        <v>-21413.34194863365</v>
      </c>
    </row>
    <row r="150" spans="2:14" ht="60">
      <c r="B150" s="9" t="s">
        <v>780</v>
      </c>
      <c r="C150" s="9" t="s">
        <v>781</v>
      </c>
      <c r="D150" s="9" t="s">
        <v>1905</v>
      </c>
      <c r="E150" s="9" t="s">
        <v>780</v>
      </c>
      <c r="F150" s="7" t="s">
        <v>3677</v>
      </c>
      <c r="G150" s="9" t="s">
        <v>1582</v>
      </c>
      <c r="H150" s="9" t="s">
        <v>1581</v>
      </c>
      <c r="I150" s="8">
        <v>30640564.109999999</v>
      </c>
      <c r="J150" s="8">
        <v>3714478.5368372304</v>
      </c>
      <c r="K150" s="8">
        <v>0</v>
      </c>
      <c r="L150" s="8">
        <f t="shared" si="5"/>
        <v>3714478.5368372304</v>
      </c>
      <c r="M150" s="8">
        <v>2785227.28</v>
      </c>
      <c r="N150" s="8">
        <f t="shared" si="6"/>
        <v>-929251.25683723064</v>
      </c>
    </row>
    <row r="151" spans="2:14" ht="30">
      <c r="B151" s="9" t="s">
        <v>725</v>
      </c>
      <c r="C151" s="9" t="s">
        <v>726</v>
      </c>
      <c r="D151" s="9" t="s">
        <v>1969</v>
      </c>
      <c r="E151" s="9" t="s">
        <v>725</v>
      </c>
      <c r="F151" s="7" t="s">
        <v>1968</v>
      </c>
      <c r="G151" s="9" t="s">
        <v>1582</v>
      </c>
      <c r="H151" s="9" t="s">
        <v>1577</v>
      </c>
      <c r="I151" s="8">
        <v>29513.13</v>
      </c>
      <c r="J151" s="8">
        <v>26076.792168656815</v>
      </c>
      <c r="K151" s="8">
        <v>0</v>
      </c>
      <c r="L151" s="8">
        <f t="shared" si="5"/>
        <v>26076.792168656815</v>
      </c>
      <c r="M151" s="8">
        <v>2431.88</v>
      </c>
      <c r="N151" s="8">
        <f t="shared" si="6"/>
        <v>-23644.912168656814</v>
      </c>
    </row>
    <row r="152" spans="2:14" ht="60">
      <c r="B152" s="9" t="s">
        <v>1280</v>
      </c>
      <c r="C152" s="9" t="s">
        <v>1281</v>
      </c>
      <c r="D152" s="9" t="s">
        <v>1967</v>
      </c>
      <c r="E152" s="9" t="s">
        <v>1280</v>
      </c>
      <c r="F152" s="7" t="s">
        <v>2709</v>
      </c>
      <c r="G152" s="9" t="s">
        <v>1578</v>
      </c>
      <c r="H152" s="9" t="s">
        <v>1581</v>
      </c>
      <c r="I152" s="8">
        <v>10456881.890000001</v>
      </c>
      <c r="J152" s="8">
        <v>1613200.8974358975</v>
      </c>
      <c r="K152" s="8">
        <v>0</v>
      </c>
      <c r="L152" s="8">
        <f t="shared" si="5"/>
        <v>1613200.8974358975</v>
      </c>
      <c r="M152" s="8">
        <v>4118965.78</v>
      </c>
      <c r="N152" s="8">
        <f t="shared" si="6"/>
        <v>2505764.8825641023</v>
      </c>
    </row>
    <row r="153" spans="2:14" ht="60">
      <c r="B153" s="9" t="e">
        <v>#N/A</v>
      </c>
      <c r="C153" s="9" t="s">
        <v>160</v>
      </c>
      <c r="D153" s="9" t="s">
        <v>1966</v>
      </c>
      <c r="E153" s="9" t="s">
        <v>3678</v>
      </c>
      <c r="F153" s="7" t="s">
        <v>2419</v>
      </c>
      <c r="G153" s="9" t="s">
        <v>1578</v>
      </c>
      <c r="H153" s="9" t="s">
        <v>1577</v>
      </c>
      <c r="I153" s="8">
        <v>336656.77</v>
      </c>
      <c r="J153" s="8">
        <v>114037.34923659168</v>
      </c>
      <c r="K153" s="8">
        <v>0</v>
      </c>
      <c r="L153" s="8">
        <f t="shared" si="5"/>
        <v>114037.34923659168</v>
      </c>
      <c r="M153" s="8">
        <v>180212.37</v>
      </c>
      <c r="N153" s="8">
        <f t="shared" si="6"/>
        <v>66175.02076340832</v>
      </c>
    </row>
    <row r="154" spans="2:14" ht="60">
      <c r="B154" s="9" t="s">
        <v>732</v>
      </c>
      <c r="C154" s="9" t="s">
        <v>733</v>
      </c>
      <c r="D154" s="9" t="s">
        <v>2155</v>
      </c>
      <c r="E154" s="9" t="s">
        <v>732</v>
      </c>
      <c r="F154" s="7" t="s">
        <v>2317</v>
      </c>
      <c r="G154" s="9" t="s">
        <v>1578</v>
      </c>
      <c r="H154" s="9" t="s">
        <v>1577</v>
      </c>
      <c r="I154" s="8">
        <v>34205</v>
      </c>
      <c r="J154" s="8">
        <v>17485.042651761338</v>
      </c>
      <c r="K154" s="8">
        <v>0</v>
      </c>
      <c r="L154" s="8">
        <f t="shared" si="5"/>
        <v>17485.042651761338</v>
      </c>
      <c r="M154" s="8">
        <v>18309.939999999999</v>
      </c>
      <c r="N154" s="8">
        <f t="shared" si="6"/>
        <v>824.89734823866092</v>
      </c>
    </row>
    <row r="155" spans="2:14" ht="60">
      <c r="B155" s="9" t="s">
        <v>735</v>
      </c>
      <c r="C155" s="9" t="s">
        <v>736</v>
      </c>
      <c r="D155" s="9" t="s">
        <v>1961</v>
      </c>
      <c r="E155" s="9" t="s">
        <v>735</v>
      </c>
      <c r="F155" s="7" t="s">
        <v>3679</v>
      </c>
      <c r="G155" s="9" t="s">
        <v>1578</v>
      </c>
      <c r="H155" s="9" t="s">
        <v>1577</v>
      </c>
      <c r="I155" s="8">
        <v>55012.75</v>
      </c>
      <c r="J155" s="8">
        <v>40003.483445993625</v>
      </c>
      <c r="K155" s="8">
        <v>0</v>
      </c>
      <c r="L155" s="8">
        <f t="shared" si="5"/>
        <v>40003.483445993625</v>
      </c>
      <c r="M155" s="8">
        <v>95172.06</v>
      </c>
      <c r="N155" s="8">
        <f t="shared" si="6"/>
        <v>55168.576554006373</v>
      </c>
    </row>
    <row r="156" spans="2:14" ht="30">
      <c r="B156" s="9" t="s">
        <v>162</v>
      </c>
      <c r="C156" s="9" t="s">
        <v>163</v>
      </c>
      <c r="D156" s="9" t="s">
        <v>1959</v>
      </c>
      <c r="E156" s="9" t="s">
        <v>162</v>
      </c>
      <c r="F156" s="7" t="s">
        <v>1958</v>
      </c>
      <c r="G156" s="9" t="s">
        <v>1582</v>
      </c>
      <c r="H156" s="9" t="s">
        <v>1581</v>
      </c>
      <c r="I156" s="8">
        <v>29181063.440000001</v>
      </c>
      <c r="J156" s="8">
        <v>2456387.461538462</v>
      </c>
      <c r="K156" s="8">
        <v>0</v>
      </c>
      <c r="L156" s="8">
        <f t="shared" si="5"/>
        <v>2456387.461538462</v>
      </c>
      <c r="M156" s="8">
        <v>4668970.1500000004</v>
      </c>
      <c r="N156" s="8">
        <f t="shared" si="6"/>
        <v>2212582.6884615384</v>
      </c>
    </row>
    <row r="157" spans="2:14" ht="30">
      <c r="B157" s="9" t="s">
        <v>738</v>
      </c>
      <c r="C157" s="9" t="s">
        <v>739</v>
      </c>
      <c r="D157" s="9" t="s">
        <v>1957</v>
      </c>
      <c r="E157" s="9" t="s">
        <v>738</v>
      </c>
      <c r="F157" s="7" t="s">
        <v>1956</v>
      </c>
      <c r="G157" s="9" t="s">
        <v>1578</v>
      </c>
      <c r="H157" s="9" t="s">
        <v>1581</v>
      </c>
      <c r="I157" s="8">
        <v>70923636.859999999</v>
      </c>
      <c r="J157" s="8">
        <v>20804332.41764706</v>
      </c>
      <c r="K157" s="8">
        <v>59991078.270000003</v>
      </c>
      <c r="L157" s="8">
        <f t="shared" si="5"/>
        <v>80795410.68764706</v>
      </c>
      <c r="M157" s="8">
        <v>292829511.86000001</v>
      </c>
      <c r="N157" s="8">
        <f t="shared" si="6"/>
        <v>212034101.17235297</v>
      </c>
    </row>
    <row r="158" spans="2:14" ht="45">
      <c r="B158" s="9" t="s">
        <v>741</v>
      </c>
      <c r="C158" s="9" t="s">
        <v>742</v>
      </c>
      <c r="D158" s="9" t="s">
        <v>2156</v>
      </c>
      <c r="E158" s="9" t="s">
        <v>741</v>
      </c>
      <c r="F158" s="7" t="s">
        <v>3680</v>
      </c>
      <c r="G158" s="9" t="s">
        <v>1578</v>
      </c>
      <c r="H158" s="9" t="s">
        <v>1577</v>
      </c>
      <c r="I158" s="8">
        <v>26851.07</v>
      </c>
      <c r="J158" s="8">
        <v>33379.79251569233</v>
      </c>
      <c r="K158" s="8">
        <v>0</v>
      </c>
      <c r="L158" s="8">
        <f t="shared" si="5"/>
        <v>33379.79251569233</v>
      </c>
      <c r="M158" s="8">
        <v>39865.78</v>
      </c>
      <c r="N158" s="8">
        <f t="shared" si="6"/>
        <v>6485.9874843076686</v>
      </c>
    </row>
    <row r="159" spans="2:14" ht="60">
      <c r="B159" s="9" t="s">
        <v>165</v>
      </c>
      <c r="C159" s="9" t="s">
        <v>166</v>
      </c>
      <c r="D159" s="9" t="s">
        <v>1954</v>
      </c>
      <c r="E159" s="9" t="s">
        <v>165</v>
      </c>
      <c r="F159" s="7" t="s">
        <v>2610</v>
      </c>
      <c r="G159" s="9" t="s">
        <v>1582</v>
      </c>
      <c r="H159" s="9" t="s">
        <v>1581</v>
      </c>
      <c r="I159" s="8">
        <v>2200700.52</v>
      </c>
      <c r="J159" s="8">
        <v>161724.74842767295</v>
      </c>
      <c r="K159" s="8">
        <v>0</v>
      </c>
      <c r="L159" s="8">
        <f t="shared" si="5"/>
        <v>161724.74842767295</v>
      </c>
      <c r="M159" s="8">
        <v>366196.56</v>
      </c>
      <c r="N159" s="8">
        <f t="shared" si="6"/>
        <v>204471.81157232705</v>
      </c>
    </row>
    <row r="160" spans="2:14" ht="75">
      <c r="B160" s="9" t="s">
        <v>1412</v>
      </c>
      <c r="C160" s="9" t="s">
        <v>1413</v>
      </c>
      <c r="D160" s="9" t="s">
        <v>1953</v>
      </c>
      <c r="E160" s="9" t="s">
        <v>1412</v>
      </c>
      <c r="F160" s="7" t="s">
        <v>1414</v>
      </c>
      <c r="G160" s="9" t="s">
        <v>1582</v>
      </c>
      <c r="H160" s="9" t="s">
        <v>1581</v>
      </c>
      <c r="I160" s="8">
        <v>92039.81</v>
      </c>
      <c r="J160" s="8">
        <v>9562.5</v>
      </c>
      <c r="K160" s="8">
        <v>0</v>
      </c>
      <c r="L160" s="8">
        <f t="shared" si="5"/>
        <v>9562.5</v>
      </c>
      <c r="M160" s="8">
        <v>71791.05</v>
      </c>
      <c r="N160" s="8">
        <f t="shared" si="6"/>
        <v>62228.55</v>
      </c>
    </row>
    <row r="161" spans="2:14" ht="45">
      <c r="B161" s="9" t="s">
        <v>1442</v>
      </c>
      <c r="C161" s="9" t="s">
        <v>1443</v>
      </c>
      <c r="D161" s="9" t="s">
        <v>1952</v>
      </c>
      <c r="E161" s="9" t="s">
        <v>1442</v>
      </c>
      <c r="F161" s="7" t="s">
        <v>2657</v>
      </c>
      <c r="G161" s="9" t="s">
        <v>1582</v>
      </c>
      <c r="H161" s="9" t="s">
        <v>1581</v>
      </c>
      <c r="I161" s="8">
        <v>128875.7</v>
      </c>
      <c r="J161" s="6">
        <v>0.01</v>
      </c>
      <c r="K161" s="8">
        <v>0</v>
      </c>
      <c r="L161" s="8">
        <f t="shared" si="5"/>
        <v>0.01</v>
      </c>
      <c r="M161" s="8">
        <v>112121.86</v>
      </c>
      <c r="N161" s="8">
        <f t="shared" si="6"/>
        <v>112121.85</v>
      </c>
    </row>
    <row r="162" spans="2:14" ht="60">
      <c r="B162" s="9" t="s">
        <v>168</v>
      </c>
      <c r="C162" s="9" t="s">
        <v>169</v>
      </c>
      <c r="D162" s="9" t="s">
        <v>1951</v>
      </c>
      <c r="E162" s="9" t="s">
        <v>168</v>
      </c>
      <c r="F162" s="7" t="s">
        <v>2594</v>
      </c>
      <c r="G162" s="9" t="s">
        <v>1582</v>
      </c>
      <c r="H162" s="9" t="s">
        <v>1581</v>
      </c>
      <c r="I162" s="8">
        <v>14268397.210000001</v>
      </c>
      <c r="J162" s="8">
        <v>3747480.7117117113</v>
      </c>
      <c r="K162" s="8">
        <v>0</v>
      </c>
      <c r="L162" s="8">
        <f t="shared" si="5"/>
        <v>3747480.7117117113</v>
      </c>
      <c r="M162" s="8">
        <v>3561391.94</v>
      </c>
      <c r="N162" s="8">
        <f t="shared" si="6"/>
        <v>-186088.77171171131</v>
      </c>
    </row>
    <row r="163" spans="2:14" ht="60">
      <c r="B163" s="9" t="s">
        <v>1415</v>
      </c>
      <c r="C163" s="9" t="s">
        <v>1416</v>
      </c>
      <c r="D163" s="9" t="s">
        <v>1950</v>
      </c>
      <c r="E163" s="9" t="s">
        <v>1415</v>
      </c>
      <c r="F163" s="7" t="s">
        <v>2664</v>
      </c>
      <c r="G163" s="9" t="s">
        <v>1582</v>
      </c>
      <c r="H163" s="9" t="s">
        <v>1581</v>
      </c>
      <c r="I163" s="8">
        <v>816384.07</v>
      </c>
      <c r="J163" s="8">
        <v>277653.01204819279</v>
      </c>
      <c r="K163" s="8">
        <v>0</v>
      </c>
      <c r="L163" s="8">
        <f t="shared" si="5"/>
        <v>277653.01204819279</v>
      </c>
      <c r="M163" s="8">
        <v>661271.1</v>
      </c>
      <c r="N163" s="8">
        <f t="shared" si="6"/>
        <v>383618.08795180719</v>
      </c>
    </row>
    <row r="164" spans="2:14" ht="75">
      <c r="B164" s="9" t="s">
        <v>1418</v>
      </c>
      <c r="C164" s="9" t="s">
        <v>1419</v>
      </c>
      <c r="D164" s="9" t="s">
        <v>1949</v>
      </c>
      <c r="E164" s="9" t="s">
        <v>1418</v>
      </c>
      <c r="F164" s="7" t="s">
        <v>2225</v>
      </c>
      <c r="G164" s="9" t="s">
        <v>1582</v>
      </c>
      <c r="H164" s="9" t="s">
        <v>1581</v>
      </c>
      <c r="I164" s="8">
        <v>295146.53000000003</v>
      </c>
      <c r="J164" s="8">
        <v>92650</v>
      </c>
      <c r="K164" s="8">
        <v>0</v>
      </c>
      <c r="L164" s="8">
        <f t="shared" si="5"/>
        <v>92650</v>
      </c>
      <c r="M164" s="8">
        <v>212505.5</v>
      </c>
      <c r="N164" s="8">
        <f t="shared" si="6"/>
        <v>119855.5</v>
      </c>
    </row>
    <row r="165" spans="2:14" ht="75">
      <c r="B165" s="9" t="s">
        <v>1421</v>
      </c>
      <c r="C165" s="9" t="s">
        <v>1422</v>
      </c>
      <c r="D165" s="9" t="s">
        <v>1948</v>
      </c>
      <c r="E165" s="9" t="s">
        <v>1421</v>
      </c>
      <c r="F165" s="7" t="s">
        <v>2270</v>
      </c>
      <c r="G165" s="9" t="s">
        <v>1582</v>
      </c>
      <c r="H165" s="9" t="s">
        <v>1581</v>
      </c>
      <c r="I165" s="8">
        <v>60364.01</v>
      </c>
      <c r="J165" s="8">
        <v>11156.25</v>
      </c>
      <c r="K165" s="8">
        <v>0</v>
      </c>
      <c r="L165" s="8">
        <f t="shared" si="5"/>
        <v>11156.25</v>
      </c>
      <c r="M165" s="8">
        <v>40413.71</v>
      </c>
      <c r="N165" s="8">
        <f t="shared" si="6"/>
        <v>29257.46</v>
      </c>
    </row>
    <row r="166" spans="2:14" ht="90">
      <c r="B166" s="9" t="s">
        <v>1464</v>
      </c>
      <c r="C166" s="9" t="s">
        <v>1465</v>
      </c>
      <c r="D166" s="9" t="s">
        <v>1947</v>
      </c>
      <c r="E166" s="9" t="s">
        <v>1464</v>
      </c>
      <c r="F166" s="7" t="s">
        <v>1466</v>
      </c>
      <c r="G166" s="9" t="s">
        <v>1582</v>
      </c>
      <c r="H166" s="9" t="s">
        <v>1581</v>
      </c>
      <c r="I166" s="8">
        <v>1581390.35</v>
      </c>
      <c r="J166" s="8">
        <v>569808.64417177916</v>
      </c>
      <c r="K166" s="8">
        <v>0</v>
      </c>
      <c r="L166" s="8">
        <f t="shared" si="5"/>
        <v>569808.64417177916</v>
      </c>
      <c r="M166" s="8">
        <v>1205335.73</v>
      </c>
      <c r="N166" s="8">
        <f t="shared" si="6"/>
        <v>635527.08582822082</v>
      </c>
    </row>
    <row r="167" spans="2:14" ht="45">
      <c r="B167" s="9" t="s">
        <v>1424</v>
      </c>
      <c r="C167" s="9" t="s">
        <v>1425</v>
      </c>
      <c r="D167" s="9" t="s">
        <v>1946</v>
      </c>
      <c r="E167" s="9" t="s">
        <v>1424</v>
      </c>
      <c r="F167" s="7" t="s">
        <v>1945</v>
      </c>
      <c r="G167" s="9" t="s">
        <v>1582</v>
      </c>
      <c r="H167" s="9" t="s">
        <v>1581</v>
      </c>
      <c r="I167" s="8">
        <v>304566.03999999998</v>
      </c>
      <c r="J167" s="8">
        <v>57598.125</v>
      </c>
      <c r="K167" s="8">
        <v>0</v>
      </c>
      <c r="L167" s="8">
        <f t="shared" si="5"/>
        <v>57598.125</v>
      </c>
      <c r="M167" s="8">
        <v>246698.49</v>
      </c>
      <c r="N167" s="8">
        <f t="shared" si="6"/>
        <v>189100.36499999999</v>
      </c>
    </row>
    <row r="168" spans="2:14" ht="90">
      <c r="B168" s="9" t="s">
        <v>1430</v>
      </c>
      <c r="C168" s="9" t="s">
        <v>1431</v>
      </c>
      <c r="D168" s="9" t="s">
        <v>1942</v>
      </c>
      <c r="E168" s="9" t="s">
        <v>1430</v>
      </c>
      <c r="F168" s="7" t="s">
        <v>1432</v>
      </c>
      <c r="G168" s="9" t="s">
        <v>1582</v>
      </c>
      <c r="H168" s="9" t="s">
        <v>1581</v>
      </c>
      <c r="I168" s="8">
        <v>38526.92</v>
      </c>
      <c r="J168" s="6">
        <v>0.01</v>
      </c>
      <c r="K168" s="8">
        <v>0</v>
      </c>
      <c r="L168" s="8">
        <f t="shared" si="5"/>
        <v>0.01</v>
      </c>
      <c r="M168" s="8">
        <v>28509.919999999998</v>
      </c>
      <c r="N168" s="8">
        <f t="shared" si="6"/>
        <v>28509.91</v>
      </c>
    </row>
    <row r="169" spans="2:14" ht="90">
      <c r="B169" s="9" t="s">
        <v>1433</v>
      </c>
      <c r="C169" s="9" t="s">
        <v>1434</v>
      </c>
      <c r="D169" s="9" t="s">
        <v>1941</v>
      </c>
      <c r="E169" s="9" t="s">
        <v>1433</v>
      </c>
      <c r="F169" s="7" t="s">
        <v>2367</v>
      </c>
      <c r="G169" s="9" t="s">
        <v>1582</v>
      </c>
      <c r="H169" s="9" t="s">
        <v>1581</v>
      </c>
      <c r="I169" s="8">
        <v>1703039.87</v>
      </c>
      <c r="J169" s="8">
        <v>569500</v>
      </c>
      <c r="K169" s="8">
        <v>0</v>
      </c>
      <c r="L169" s="8">
        <f t="shared" si="5"/>
        <v>569500</v>
      </c>
      <c r="M169" s="8">
        <v>1106975.92</v>
      </c>
      <c r="N169" s="8">
        <f t="shared" si="6"/>
        <v>537475.91999999993</v>
      </c>
    </row>
    <row r="170" spans="2:14" ht="90">
      <c r="B170" s="9" t="s">
        <v>1439</v>
      </c>
      <c r="C170" s="9" t="s">
        <v>1440</v>
      </c>
      <c r="D170" s="9" t="s">
        <v>1940</v>
      </c>
      <c r="E170" s="9" t="s">
        <v>1439</v>
      </c>
      <c r="F170" s="7" t="s">
        <v>2619</v>
      </c>
      <c r="G170" s="9" t="s">
        <v>1582</v>
      </c>
      <c r="H170" s="9" t="s">
        <v>1581</v>
      </c>
      <c r="I170" s="8">
        <v>2977665.94</v>
      </c>
      <c r="J170" s="8">
        <v>905250</v>
      </c>
      <c r="K170" s="8">
        <v>0</v>
      </c>
      <c r="L170" s="8">
        <f t="shared" si="5"/>
        <v>905250</v>
      </c>
      <c r="M170" s="8">
        <v>2024217.31</v>
      </c>
      <c r="N170" s="8">
        <f t="shared" si="6"/>
        <v>1118967.31</v>
      </c>
    </row>
    <row r="171" spans="2:14" ht="90">
      <c r="B171" s="9" t="s">
        <v>1467</v>
      </c>
      <c r="C171" s="9" t="s">
        <v>1468</v>
      </c>
      <c r="D171" s="9" t="s">
        <v>1939</v>
      </c>
      <c r="E171" s="9" t="s">
        <v>1467</v>
      </c>
      <c r="F171" s="7" t="s">
        <v>3681</v>
      </c>
      <c r="G171" s="9" t="s">
        <v>1582</v>
      </c>
      <c r="H171" s="9" t="s">
        <v>1581</v>
      </c>
      <c r="I171" s="8">
        <v>126637.35</v>
      </c>
      <c r="J171" s="8">
        <v>17787.6875</v>
      </c>
      <c r="K171" s="8">
        <v>0</v>
      </c>
      <c r="L171" s="8">
        <f t="shared" si="5"/>
        <v>17787.6875</v>
      </c>
      <c r="M171" s="8">
        <v>88253.57</v>
      </c>
      <c r="N171" s="8">
        <f t="shared" si="6"/>
        <v>70465.882500000007</v>
      </c>
    </row>
    <row r="172" spans="2:14" ht="90">
      <c r="B172" s="9" t="s">
        <v>1446</v>
      </c>
      <c r="C172" s="9" t="s">
        <v>1447</v>
      </c>
      <c r="D172" s="9" t="s">
        <v>1938</v>
      </c>
      <c r="E172" s="9" t="s">
        <v>1446</v>
      </c>
      <c r="F172" s="7" t="s">
        <v>2735</v>
      </c>
      <c r="G172" s="9" t="s">
        <v>1582</v>
      </c>
      <c r="H172" s="9" t="s">
        <v>1581</v>
      </c>
      <c r="I172" s="8">
        <v>257574.38</v>
      </c>
      <c r="J172" s="8">
        <v>82450</v>
      </c>
      <c r="K172" s="8">
        <v>0</v>
      </c>
      <c r="L172" s="8">
        <f t="shared" si="5"/>
        <v>82450</v>
      </c>
      <c r="M172" s="8">
        <v>180302.07</v>
      </c>
      <c r="N172" s="8">
        <f t="shared" si="6"/>
        <v>97852.07</v>
      </c>
    </row>
    <row r="173" spans="2:14" ht="45">
      <c r="B173" s="9" t="s">
        <v>1449</v>
      </c>
      <c r="C173" s="9" t="s">
        <v>1450</v>
      </c>
      <c r="D173" s="9" t="s">
        <v>1936</v>
      </c>
      <c r="E173" s="9" t="s">
        <v>1449</v>
      </c>
      <c r="F173" s="7" t="s">
        <v>1935</v>
      </c>
      <c r="G173" s="9" t="s">
        <v>1582</v>
      </c>
      <c r="H173" s="9" t="s">
        <v>1581</v>
      </c>
      <c r="I173" s="8">
        <v>1097047.8400000001</v>
      </c>
      <c r="J173" s="8">
        <v>340000</v>
      </c>
      <c r="K173" s="8">
        <v>0</v>
      </c>
      <c r="L173" s="8">
        <f t="shared" si="5"/>
        <v>340000</v>
      </c>
      <c r="M173" s="8">
        <v>735022.05</v>
      </c>
      <c r="N173" s="8">
        <f t="shared" si="6"/>
        <v>395022.05000000005</v>
      </c>
    </row>
    <row r="174" spans="2:14" ht="75">
      <c r="B174" s="9" t="s">
        <v>1452</v>
      </c>
      <c r="C174" s="9" t="s">
        <v>1453</v>
      </c>
      <c r="D174" s="9" t="s">
        <v>1934</v>
      </c>
      <c r="E174" s="9" t="s">
        <v>1452</v>
      </c>
      <c r="F174" s="7" t="s">
        <v>2530</v>
      </c>
      <c r="G174" s="9" t="s">
        <v>1582</v>
      </c>
      <c r="H174" s="9" t="s">
        <v>1581</v>
      </c>
      <c r="I174" s="8">
        <v>28600.67</v>
      </c>
      <c r="J174" s="8">
        <v>4062.5</v>
      </c>
      <c r="K174" s="8">
        <v>0</v>
      </c>
      <c r="L174" s="8">
        <f t="shared" si="5"/>
        <v>4062.5</v>
      </c>
      <c r="M174" s="8">
        <v>22094.02</v>
      </c>
      <c r="N174" s="8">
        <f t="shared" si="6"/>
        <v>18031.52</v>
      </c>
    </row>
    <row r="175" spans="2:14" ht="90">
      <c r="B175" s="9" t="s">
        <v>1455</v>
      </c>
      <c r="C175" s="9" t="s">
        <v>1456</v>
      </c>
      <c r="D175" s="9" t="s">
        <v>1933</v>
      </c>
      <c r="E175" s="9" t="s">
        <v>1455</v>
      </c>
      <c r="F175" s="7" t="s">
        <v>2536</v>
      </c>
      <c r="G175" s="9" t="s">
        <v>1582</v>
      </c>
      <c r="H175" s="9" t="s">
        <v>1581</v>
      </c>
      <c r="I175" s="8">
        <v>50918.22</v>
      </c>
      <c r="J175" s="6">
        <v>0.01</v>
      </c>
      <c r="K175" s="8">
        <v>0</v>
      </c>
      <c r="L175" s="8">
        <f t="shared" si="5"/>
        <v>0.01</v>
      </c>
      <c r="M175" s="8">
        <v>37068.46</v>
      </c>
      <c r="N175" s="8">
        <f t="shared" si="6"/>
        <v>37068.449999999997</v>
      </c>
    </row>
    <row r="176" spans="2:14" ht="90">
      <c r="B176" s="9" t="s">
        <v>1458</v>
      </c>
      <c r="C176" s="9" t="s">
        <v>1459</v>
      </c>
      <c r="D176" s="9" t="s">
        <v>1943</v>
      </c>
      <c r="E176" s="9" t="s">
        <v>1458</v>
      </c>
      <c r="F176" s="7" t="s">
        <v>2546</v>
      </c>
      <c r="G176" s="9" t="s">
        <v>1582</v>
      </c>
      <c r="H176" s="9" t="s">
        <v>1581</v>
      </c>
      <c r="I176" s="8">
        <v>50214.559999999998</v>
      </c>
      <c r="J176" s="8">
        <v>12599.544117647056</v>
      </c>
      <c r="K176" s="8">
        <v>0</v>
      </c>
      <c r="L176" s="8">
        <f t="shared" si="5"/>
        <v>12599.544117647056</v>
      </c>
      <c r="M176" s="8">
        <v>43686.67</v>
      </c>
      <c r="N176" s="8">
        <f t="shared" si="6"/>
        <v>31087.125882352942</v>
      </c>
    </row>
    <row r="177" spans="2:14" ht="75">
      <c r="B177" s="9" t="s">
        <v>1427</v>
      </c>
      <c r="C177" s="9" t="s">
        <v>1428</v>
      </c>
      <c r="D177" s="9" t="s">
        <v>1944</v>
      </c>
      <c r="E177" s="9" t="s">
        <v>1427</v>
      </c>
      <c r="F177" s="7" t="s">
        <v>2363</v>
      </c>
      <c r="G177" s="9" t="s">
        <v>1582</v>
      </c>
      <c r="H177" s="9" t="s">
        <v>1581</v>
      </c>
      <c r="I177" s="8">
        <v>1219816.69</v>
      </c>
      <c r="J177" s="8">
        <v>453050</v>
      </c>
      <c r="K177" s="8">
        <v>0</v>
      </c>
      <c r="L177" s="8">
        <f t="shared" si="5"/>
        <v>453050</v>
      </c>
      <c r="M177" s="8">
        <v>951457.02</v>
      </c>
      <c r="N177" s="8">
        <f t="shared" si="6"/>
        <v>498407.02</v>
      </c>
    </row>
    <row r="178" spans="2:14" ht="30">
      <c r="B178" s="9" t="s">
        <v>171</v>
      </c>
      <c r="C178" s="9" t="s">
        <v>172</v>
      </c>
      <c r="D178" s="9" t="s">
        <v>1932</v>
      </c>
      <c r="E178" s="9" t="s">
        <v>171</v>
      </c>
      <c r="F178" s="7" t="s">
        <v>2352</v>
      </c>
      <c r="G178" s="9" t="s">
        <v>1582</v>
      </c>
      <c r="H178" s="9" t="s">
        <v>1577</v>
      </c>
      <c r="I178" s="8">
        <v>17878.36</v>
      </c>
      <c r="J178" s="8">
        <v>32559.690805767277</v>
      </c>
      <c r="K178" s="8">
        <v>0</v>
      </c>
      <c r="L178" s="8">
        <f t="shared" si="5"/>
        <v>32559.690805767277</v>
      </c>
      <c r="M178" s="8">
        <v>34955.769999999997</v>
      </c>
      <c r="N178" s="8">
        <f t="shared" si="6"/>
        <v>2396.0791942327196</v>
      </c>
    </row>
    <row r="179" spans="2:14" ht="30">
      <c r="B179" s="9" t="s">
        <v>744</v>
      </c>
      <c r="C179" s="9" t="s">
        <v>745</v>
      </c>
      <c r="D179" s="9" t="s">
        <v>1931</v>
      </c>
      <c r="E179" s="9" t="s">
        <v>744</v>
      </c>
      <c r="F179" s="7" t="s">
        <v>1930</v>
      </c>
      <c r="G179" s="9" t="s">
        <v>1578</v>
      </c>
      <c r="H179" s="9" t="s">
        <v>1581</v>
      </c>
      <c r="I179" s="8">
        <v>1390.54</v>
      </c>
      <c r="J179" s="6">
        <v>0.01</v>
      </c>
      <c r="K179" s="8">
        <v>0</v>
      </c>
      <c r="L179" s="8">
        <f t="shared" si="5"/>
        <v>0.01</v>
      </c>
      <c r="M179" s="8">
        <v>1418.49</v>
      </c>
      <c r="N179" s="8">
        <f t="shared" si="6"/>
        <v>1418.48</v>
      </c>
    </row>
    <row r="180" spans="2:14" ht="45">
      <c r="B180" s="9" t="s">
        <v>174</v>
      </c>
      <c r="C180" s="9" t="s">
        <v>175</v>
      </c>
      <c r="D180" s="9" t="s">
        <v>1929</v>
      </c>
      <c r="E180" s="9" t="s">
        <v>174</v>
      </c>
      <c r="F180" s="7" t="s">
        <v>2390</v>
      </c>
      <c r="G180" s="9" t="s">
        <v>1582</v>
      </c>
      <c r="H180" s="9" t="s">
        <v>1581</v>
      </c>
      <c r="I180" s="8">
        <v>8417052.5800000001</v>
      </c>
      <c r="J180" s="8">
        <v>1918938.4756659972</v>
      </c>
      <c r="K180" s="8">
        <v>0</v>
      </c>
      <c r="L180" s="8">
        <f t="shared" si="5"/>
        <v>1918938.4756659972</v>
      </c>
      <c r="M180" s="8">
        <v>1445207.93</v>
      </c>
      <c r="N180" s="8">
        <f t="shared" si="6"/>
        <v>-473730.54566599731</v>
      </c>
    </row>
    <row r="181" spans="2:14" ht="30">
      <c r="B181" s="9" t="s">
        <v>747</v>
      </c>
      <c r="C181" s="9" t="s">
        <v>748</v>
      </c>
      <c r="D181" s="9" t="s">
        <v>1928</v>
      </c>
      <c r="E181" s="9" t="s">
        <v>747</v>
      </c>
      <c r="F181" s="7" t="s">
        <v>1927</v>
      </c>
      <c r="G181" s="9" t="s">
        <v>1582</v>
      </c>
      <c r="H181" s="9" t="s">
        <v>1581</v>
      </c>
      <c r="I181" s="8">
        <v>145957651.38</v>
      </c>
      <c r="J181" s="8">
        <v>11680897.205714285</v>
      </c>
      <c r="K181" s="8">
        <v>0</v>
      </c>
      <c r="L181" s="8">
        <f t="shared" si="5"/>
        <v>11680897.205714285</v>
      </c>
      <c r="M181" s="8">
        <v>19353984.57</v>
      </c>
      <c r="N181" s="8">
        <f t="shared" si="6"/>
        <v>7673087.3642857149</v>
      </c>
    </row>
    <row r="182" spans="2:14" ht="30">
      <c r="B182" s="9" t="s">
        <v>3079</v>
      </c>
      <c r="C182" s="9" t="s">
        <v>3080</v>
      </c>
      <c r="D182" s="9" t="s">
        <v>2100</v>
      </c>
      <c r="E182" s="9" t="s">
        <v>3079</v>
      </c>
      <c r="F182" s="7" t="s">
        <v>3682</v>
      </c>
      <c r="G182" s="9" t="s">
        <v>1582</v>
      </c>
      <c r="H182" s="9" t="s">
        <v>1581</v>
      </c>
      <c r="I182" s="8">
        <v>15967078.5</v>
      </c>
      <c r="J182" s="8">
        <v>2925512.4476263155</v>
      </c>
      <c r="K182" s="8">
        <v>0</v>
      </c>
      <c r="L182" s="8">
        <f t="shared" si="5"/>
        <v>2925512.4476263155</v>
      </c>
      <c r="M182" s="8">
        <v>2490864.25</v>
      </c>
      <c r="N182" s="8">
        <f t="shared" si="6"/>
        <v>-434648.19762631552</v>
      </c>
    </row>
    <row r="183" spans="2:14" ht="60">
      <c r="B183" s="9" t="s">
        <v>177</v>
      </c>
      <c r="C183" s="9" t="s">
        <v>178</v>
      </c>
      <c r="D183" s="9" t="s">
        <v>1926</v>
      </c>
      <c r="E183" s="9" t="s">
        <v>177</v>
      </c>
      <c r="F183" s="7" t="s">
        <v>2406</v>
      </c>
      <c r="G183" s="9" t="s">
        <v>1582</v>
      </c>
      <c r="H183" s="9" t="s">
        <v>1581</v>
      </c>
      <c r="I183" s="8">
        <v>309974.38</v>
      </c>
      <c r="J183" s="8">
        <v>17320.17391304348</v>
      </c>
      <c r="K183" s="8">
        <v>0</v>
      </c>
      <c r="L183" s="8">
        <f t="shared" si="5"/>
        <v>17320.17391304348</v>
      </c>
      <c r="M183" s="8">
        <v>55795.39</v>
      </c>
      <c r="N183" s="8">
        <f t="shared" si="6"/>
        <v>38475.21608695652</v>
      </c>
    </row>
    <row r="184" spans="2:14" ht="60">
      <c r="B184" s="9" t="s">
        <v>750</v>
      </c>
      <c r="C184" s="9" t="s">
        <v>751</v>
      </c>
      <c r="D184" s="9" t="s">
        <v>1924</v>
      </c>
      <c r="E184" s="9" t="s">
        <v>750</v>
      </c>
      <c r="F184" s="7" t="s">
        <v>2434</v>
      </c>
      <c r="G184" s="9" t="s">
        <v>1582</v>
      </c>
      <c r="H184" s="9" t="s">
        <v>1581</v>
      </c>
      <c r="I184" s="8">
        <v>15855132.32</v>
      </c>
      <c r="J184" s="8">
        <v>2146396.230769231</v>
      </c>
      <c r="K184" s="8">
        <v>0</v>
      </c>
      <c r="L184" s="8">
        <f t="shared" si="5"/>
        <v>2146396.230769231</v>
      </c>
      <c r="M184" s="8">
        <v>4735928.0199999996</v>
      </c>
      <c r="N184" s="8">
        <f t="shared" si="6"/>
        <v>2589531.7892307686</v>
      </c>
    </row>
    <row r="185" spans="2:14" ht="45">
      <c r="B185" s="9" t="s">
        <v>753</v>
      </c>
      <c r="C185" s="9" t="s">
        <v>754</v>
      </c>
      <c r="D185" s="9" t="s">
        <v>1923</v>
      </c>
      <c r="E185" s="9" t="s">
        <v>753</v>
      </c>
      <c r="F185" s="7" t="s">
        <v>2426</v>
      </c>
      <c r="G185" s="9" t="s">
        <v>1582</v>
      </c>
      <c r="H185" s="9" t="s">
        <v>1581</v>
      </c>
      <c r="I185" s="8">
        <v>3314064.13</v>
      </c>
      <c r="J185" s="8">
        <v>1874740.3974127816</v>
      </c>
      <c r="K185" s="8">
        <v>0</v>
      </c>
      <c r="L185" s="8">
        <f t="shared" si="5"/>
        <v>1874740.3974127816</v>
      </c>
      <c r="M185" s="8">
        <v>894797.32</v>
      </c>
      <c r="N185" s="8">
        <f t="shared" si="6"/>
        <v>-979943.07741278165</v>
      </c>
    </row>
    <row r="186" spans="2:14" ht="75">
      <c r="B186" s="9" t="s">
        <v>756</v>
      </c>
      <c r="C186" s="9" t="s">
        <v>757</v>
      </c>
      <c r="D186" s="9" t="s">
        <v>1922</v>
      </c>
      <c r="E186" s="9" t="s">
        <v>756</v>
      </c>
      <c r="F186" s="7" t="s">
        <v>2433</v>
      </c>
      <c r="G186" s="9" t="s">
        <v>1582</v>
      </c>
      <c r="H186" s="9" t="s">
        <v>1581</v>
      </c>
      <c r="I186" s="8">
        <v>64365450.719999999</v>
      </c>
      <c r="J186" s="8">
        <v>11119618.721893493</v>
      </c>
      <c r="K186" s="8">
        <v>0</v>
      </c>
      <c r="L186" s="8">
        <f t="shared" si="5"/>
        <v>11119618.721893493</v>
      </c>
      <c r="M186" s="8">
        <v>22321938.300000001</v>
      </c>
      <c r="N186" s="8">
        <f t="shared" si="6"/>
        <v>11202319.578106508</v>
      </c>
    </row>
    <row r="187" spans="2:14" ht="75">
      <c r="B187" s="9" t="s">
        <v>180</v>
      </c>
      <c r="C187" s="9" t="s">
        <v>181</v>
      </c>
      <c r="D187" s="9" t="s">
        <v>1921</v>
      </c>
      <c r="E187" s="9" t="s">
        <v>180</v>
      </c>
      <c r="F187" s="7" t="s">
        <v>2537</v>
      </c>
      <c r="G187" s="9" t="s">
        <v>1582</v>
      </c>
      <c r="H187" s="9" t="s">
        <v>1581</v>
      </c>
      <c r="I187" s="8">
        <v>1036849.78</v>
      </c>
      <c r="J187" s="8">
        <v>60449.672794117621</v>
      </c>
      <c r="K187" s="8">
        <v>0</v>
      </c>
      <c r="L187" s="8">
        <f t="shared" si="5"/>
        <v>60449.672794117621</v>
      </c>
      <c r="M187" s="8">
        <v>238475.45</v>
      </c>
      <c r="N187" s="8">
        <f t="shared" si="6"/>
        <v>178025.77720588239</v>
      </c>
    </row>
    <row r="188" spans="2:14" ht="60">
      <c r="B188" s="9" t="s">
        <v>183</v>
      </c>
      <c r="C188" s="9" t="s">
        <v>184</v>
      </c>
      <c r="D188" s="9" t="s">
        <v>1920</v>
      </c>
      <c r="E188" s="9" t="s">
        <v>183</v>
      </c>
      <c r="F188" s="7" t="s">
        <v>2506</v>
      </c>
      <c r="G188" s="9" t="s">
        <v>1582</v>
      </c>
      <c r="H188" s="9" t="s">
        <v>1581</v>
      </c>
      <c r="I188" s="8">
        <v>16146979.880000001</v>
      </c>
      <c r="J188" s="8">
        <v>1127221.5698529412</v>
      </c>
      <c r="K188" s="8">
        <v>0</v>
      </c>
      <c r="L188" s="8">
        <f t="shared" si="5"/>
        <v>1127221.5698529412</v>
      </c>
      <c r="M188" s="8">
        <v>2583516.7799999998</v>
      </c>
      <c r="N188" s="8">
        <f t="shared" si="6"/>
        <v>1456295.2101470586</v>
      </c>
    </row>
    <row r="189" spans="2:14" ht="60">
      <c r="B189" s="9" t="s">
        <v>759</v>
      </c>
      <c r="C189" s="9" t="s">
        <v>760</v>
      </c>
      <c r="D189" s="9" t="s">
        <v>1919</v>
      </c>
      <c r="E189" s="9" t="s">
        <v>759</v>
      </c>
      <c r="F189" s="7" t="s">
        <v>3683</v>
      </c>
      <c r="G189" s="9" t="s">
        <v>1582</v>
      </c>
      <c r="H189" s="9" t="s">
        <v>1581</v>
      </c>
      <c r="I189" s="8">
        <v>269000258.07999998</v>
      </c>
      <c r="J189" s="8">
        <v>13018274.378676474</v>
      </c>
      <c r="K189" s="8">
        <v>0</v>
      </c>
      <c r="L189" s="8">
        <f t="shared" si="5"/>
        <v>13018274.378676474</v>
      </c>
      <c r="M189" s="8">
        <v>33248431.899999999</v>
      </c>
      <c r="N189" s="8">
        <f t="shared" si="6"/>
        <v>20230157.521323524</v>
      </c>
    </row>
    <row r="190" spans="2:14" ht="45">
      <c r="B190" s="9" t="s">
        <v>186</v>
      </c>
      <c r="C190" s="9" t="s">
        <v>187</v>
      </c>
      <c r="D190" s="9" t="s">
        <v>1918</v>
      </c>
      <c r="E190" s="9" t="s">
        <v>186</v>
      </c>
      <c r="F190" s="7" t="s">
        <v>2568</v>
      </c>
      <c r="G190" s="9" t="s">
        <v>1582</v>
      </c>
      <c r="H190" s="9" t="s">
        <v>1581</v>
      </c>
      <c r="I190" s="8">
        <v>55910215.010000005</v>
      </c>
      <c r="J190" s="8">
        <v>2197579.1250000009</v>
      </c>
      <c r="K190" s="8">
        <v>0</v>
      </c>
      <c r="L190" s="8">
        <f t="shared" si="5"/>
        <v>2197579.1250000009</v>
      </c>
      <c r="M190" s="8">
        <v>5132557.74</v>
      </c>
      <c r="N190" s="8">
        <f t="shared" si="6"/>
        <v>2934978.6149999993</v>
      </c>
    </row>
    <row r="191" spans="2:14" ht="45">
      <c r="B191" s="9" t="s">
        <v>762</v>
      </c>
      <c r="C191" s="9" t="s">
        <v>763</v>
      </c>
      <c r="D191" s="9" t="s">
        <v>1917</v>
      </c>
      <c r="E191" s="9" t="s">
        <v>762</v>
      </c>
      <c r="F191" s="7" t="s">
        <v>2672</v>
      </c>
      <c r="G191" s="9" t="s">
        <v>1578</v>
      </c>
      <c r="H191" s="9" t="s">
        <v>1581</v>
      </c>
      <c r="I191" s="8">
        <v>26415996.609999999</v>
      </c>
      <c r="J191" s="8">
        <v>4750353.9447852755</v>
      </c>
      <c r="K191" s="8">
        <v>0</v>
      </c>
      <c r="L191" s="8">
        <f t="shared" si="5"/>
        <v>4750353.9447852755</v>
      </c>
      <c r="M191" s="8">
        <v>8537650.1099999994</v>
      </c>
      <c r="N191" s="8">
        <f t="shared" si="6"/>
        <v>3787296.1652147239</v>
      </c>
    </row>
    <row r="192" spans="2:14" ht="45">
      <c r="B192" s="9" t="s">
        <v>2860</v>
      </c>
      <c r="C192" s="9" t="s">
        <v>2736</v>
      </c>
      <c r="D192" s="9" t="s">
        <v>1592</v>
      </c>
      <c r="E192" s="9" t="s">
        <v>2860</v>
      </c>
      <c r="F192" s="7" t="s">
        <v>3684</v>
      </c>
      <c r="G192" s="9" t="s">
        <v>1582</v>
      </c>
      <c r="H192" s="9" t="s">
        <v>1581</v>
      </c>
      <c r="I192" s="8">
        <v>10290465.939999999</v>
      </c>
      <c r="J192" s="8">
        <v>925504.79912663763</v>
      </c>
      <c r="K192" s="8">
        <v>0</v>
      </c>
      <c r="L192" s="8">
        <f t="shared" si="5"/>
        <v>925504.79912663763</v>
      </c>
      <c r="M192" s="8">
        <v>2649794.98</v>
      </c>
      <c r="N192" s="8">
        <f t="shared" si="6"/>
        <v>1724290.1808733623</v>
      </c>
    </row>
    <row r="193" spans="2:14" ht="75">
      <c r="B193" s="9" t="s">
        <v>189</v>
      </c>
      <c r="C193" s="9" t="s">
        <v>190</v>
      </c>
      <c r="D193" s="9" t="s">
        <v>2161</v>
      </c>
      <c r="E193" s="9" t="s">
        <v>189</v>
      </c>
      <c r="F193" s="7" t="s">
        <v>3260</v>
      </c>
      <c r="G193" s="9" t="s">
        <v>1582</v>
      </c>
      <c r="H193" s="9" t="s">
        <v>1581</v>
      </c>
      <c r="I193" s="8">
        <v>136168.19</v>
      </c>
      <c r="J193" s="8">
        <v>7234.7228915662645</v>
      </c>
      <c r="K193" s="8">
        <v>0</v>
      </c>
      <c r="L193" s="8">
        <f t="shared" si="5"/>
        <v>7234.7228915662645</v>
      </c>
      <c r="M193" s="8">
        <v>39488.78</v>
      </c>
      <c r="N193" s="8">
        <f t="shared" si="6"/>
        <v>32254.057108433735</v>
      </c>
    </row>
    <row r="194" spans="2:14" ht="45">
      <c r="B194" s="9" t="s">
        <v>765</v>
      </c>
      <c r="C194" s="9" t="s">
        <v>766</v>
      </c>
      <c r="D194" s="9" t="s">
        <v>1916</v>
      </c>
      <c r="E194" s="9" t="s">
        <v>765</v>
      </c>
      <c r="F194" s="7" t="s">
        <v>2322</v>
      </c>
      <c r="G194" s="9" t="s">
        <v>1578</v>
      </c>
      <c r="H194" s="9" t="s">
        <v>1581</v>
      </c>
      <c r="I194" s="8">
        <v>969890.65</v>
      </c>
      <c r="J194" s="8">
        <v>731265.86353936256</v>
      </c>
      <c r="K194" s="8">
        <v>0</v>
      </c>
      <c r="L194" s="8">
        <f t="shared" si="5"/>
        <v>731265.86353936256</v>
      </c>
      <c r="M194" s="8">
        <v>709281.03</v>
      </c>
      <c r="N194" s="8">
        <f t="shared" si="6"/>
        <v>-21984.833539362531</v>
      </c>
    </row>
    <row r="195" spans="2:14" ht="60">
      <c r="B195" s="9" t="s">
        <v>768</v>
      </c>
      <c r="C195" s="9" t="s">
        <v>769</v>
      </c>
      <c r="D195" s="9" t="s">
        <v>1915</v>
      </c>
      <c r="E195" s="9" t="s">
        <v>768</v>
      </c>
      <c r="F195" s="7" t="s">
        <v>2421</v>
      </c>
      <c r="G195" s="9" t="s">
        <v>1578</v>
      </c>
      <c r="H195" s="9" t="s">
        <v>1577</v>
      </c>
      <c r="I195" s="8">
        <v>16609.04</v>
      </c>
      <c r="J195" s="8">
        <v>10413.730682743482</v>
      </c>
      <c r="K195" s="8">
        <v>0</v>
      </c>
      <c r="L195" s="8">
        <f t="shared" si="5"/>
        <v>10413.730682743482</v>
      </c>
      <c r="M195" s="8">
        <v>17278.38</v>
      </c>
      <c r="N195" s="8">
        <f t="shared" si="6"/>
        <v>6864.6493172565188</v>
      </c>
    </row>
    <row r="196" spans="2:14" ht="45">
      <c r="B196" s="9" t="s">
        <v>192</v>
      </c>
      <c r="C196" s="9" t="s">
        <v>193</v>
      </c>
      <c r="D196" s="9" t="s">
        <v>1914</v>
      </c>
      <c r="E196" s="9" t="s">
        <v>192</v>
      </c>
      <c r="F196" s="7" t="s">
        <v>2386</v>
      </c>
      <c r="G196" s="9" t="s">
        <v>1582</v>
      </c>
      <c r="H196" s="9" t="s">
        <v>1581</v>
      </c>
      <c r="I196" s="8">
        <v>14880921.68</v>
      </c>
      <c r="J196" s="8">
        <v>2651506.2985325931</v>
      </c>
      <c r="K196" s="8">
        <v>0</v>
      </c>
      <c r="L196" s="8">
        <f t="shared" si="5"/>
        <v>2651506.2985325931</v>
      </c>
      <c r="M196" s="8">
        <v>2404756.94</v>
      </c>
      <c r="N196" s="8">
        <f t="shared" si="6"/>
        <v>-246749.35853259312</v>
      </c>
    </row>
    <row r="197" spans="2:14" ht="45">
      <c r="B197" s="9" t="s">
        <v>195</v>
      </c>
      <c r="C197" s="9" t="s">
        <v>196</v>
      </c>
      <c r="D197" s="9" t="s">
        <v>1913</v>
      </c>
      <c r="E197" s="9" t="s">
        <v>195</v>
      </c>
      <c r="F197" s="7" t="s">
        <v>2299</v>
      </c>
      <c r="G197" s="9" t="s">
        <v>1578</v>
      </c>
      <c r="H197" s="9" t="s">
        <v>1577</v>
      </c>
      <c r="I197" s="8">
        <v>89203.89</v>
      </c>
      <c r="J197" s="8">
        <v>87019.377058294136</v>
      </c>
      <c r="K197" s="8">
        <v>0</v>
      </c>
      <c r="L197" s="8">
        <f t="shared" si="5"/>
        <v>87019.377058294136</v>
      </c>
      <c r="M197" s="8">
        <v>131388.41</v>
      </c>
      <c r="N197" s="8">
        <f t="shared" si="6"/>
        <v>44369.032941705867</v>
      </c>
    </row>
    <row r="198" spans="2:14" ht="45">
      <c r="B198" s="9" t="s">
        <v>198</v>
      </c>
      <c r="C198" s="9" t="s">
        <v>199</v>
      </c>
      <c r="D198" s="9" t="s">
        <v>1912</v>
      </c>
      <c r="E198" s="9" t="s">
        <v>198</v>
      </c>
      <c r="F198" s="7" t="s">
        <v>2366</v>
      </c>
      <c r="G198" s="9" t="s">
        <v>1582</v>
      </c>
      <c r="H198" s="9" t="s">
        <v>1581</v>
      </c>
      <c r="I198" s="8">
        <v>409930.63</v>
      </c>
      <c r="J198" s="8">
        <v>119111.76571428569</v>
      </c>
      <c r="K198" s="8">
        <v>0</v>
      </c>
      <c r="L198" s="8">
        <f t="shared" si="5"/>
        <v>119111.76571428569</v>
      </c>
      <c r="M198" s="8">
        <v>204965.32</v>
      </c>
      <c r="N198" s="8">
        <f t="shared" si="6"/>
        <v>85853.554285714315</v>
      </c>
    </row>
    <row r="199" spans="2:14" ht="60">
      <c r="B199" s="9" t="s">
        <v>210</v>
      </c>
      <c r="C199" s="9" t="s">
        <v>211</v>
      </c>
      <c r="D199" s="9" t="s">
        <v>1911</v>
      </c>
      <c r="E199" s="9" t="s">
        <v>210</v>
      </c>
      <c r="F199" s="7" t="s">
        <v>2702</v>
      </c>
      <c r="G199" s="9" t="s">
        <v>1582</v>
      </c>
      <c r="H199" s="9" t="s">
        <v>1581</v>
      </c>
      <c r="I199" s="8">
        <v>1708049.28</v>
      </c>
      <c r="J199" s="8">
        <v>811000.52147239284</v>
      </c>
      <c r="K199" s="8">
        <v>0</v>
      </c>
      <c r="L199" s="8">
        <f t="shared" si="5"/>
        <v>811000.52147239284</v>
      </c>
      <c r="M199" s="8">
        <v>365864.16</v>
      </c>
      <c r="N199" s="8">
        <f t="shared" si="6"/>
        <v>-445136.36147239286</v>
      </c>
    </row>
    <row r="200" spans="2:14" ht="60">
      <c r="B200" s="9" t="s">
        <v>216</v>
      </c>
      <c r="C200" s="9" t="s">
        <v>217</v>
      </c>
      <c r="D200" s="9" t="s">
        <v>1910</v>
      </c>
      <c r="E200" s="9" t="s">
        <v>216</v>
      </c>
      <c r="F200" s="7" t="s">
        <v>2507</v>
      </c>
      <c r="G200" s="9" t="s">
        <v>1582</v>
      </c>
      <c r="H200" s="9" t="s">
        <v>1581</v>
      </c>
      <c r="I200" s="8">
        <v>142808.13</v>
      </c>
      <c r="J200" s="8">
        <v>24948</v>
      </c>
      <c r="K200" s="8">
        <v>0</v>
      </c>
      <c r="L200" s="8">
        <f t="shared" ref="L200:L263" si="7">J200+K200</f>
        <v>24948</v>
      </c>
      <c r="M200" s="8">
        <v>23306.29</v>
      </c>
      <c r="N200" s="8">
        <f t="shared" ref="N200:N263" si="8">M200-L200</f>
        <v>-1641.7099999999991</v>
      </c>
    </row>
    <row r="201" spans="2:14" ht="45">
      <c r="B201" s="9" t="s">
        <v>771</v>
      </c>
      <c r="C201" s="9" t="s">
        <v>772</v>
      </c>
      <c r="D201" s="9" t="s">
        <v>1909</v>
      </c>
      <c r="E201" s="9" t="s">
        <v>771</v>
      </c>
      <c r="F201" s="7" t="s">
        <v>2516</v>
      </c>
      <c r="G201" s="9" t="s">
        <v>1582</v>
      </c>
      <c r="H201" s="9" t="s">
        <v>1581</v>
      </c>
      <c r="I201" s="8">
        <v>287569605.55000001</v>
      </c>
      <c r="J201" s="8">
        <v>13874992.985294122</v>
      </c>
      <c r="K201" s="8">
        <v>0</v>
      </c>
      <c r="L201" s="8">
        <f t="shared" si="7"/>
        <v>13874992.985294122</v>
      </c>
      <c r="M201" s="8">
        <v>31948983.18</v>
      </c>
      <c r="N201" s="8">
        <f t="shared" si="8"/>
        <v>18073990.194705877</v>
      </c>
    </row>
    <row r="202" spans="2:14">
      <c r="B202" s="9" t="s">
        <v>774</v>
      </c>
      <c r="C202" s="9" t="s">
        <v>775</v>
      </c>
      <c r="D202" s="9" t="s">
        <v>1908</v>
      </c>
      <c r="E202" s="9" t="s">
        <v>774</v>
      </c>
      <c r="F202" s="7" t="s">
        <v>1907</v>
      </c>
      <c r="G202" s="9" t="s">
        <v>1582</v>
      </c>
      <c r="H202" s="9" t="s">
        <v>1581</v>
      </c>
      <c r="I202" s="8">
        <v>57253605.18</v>
      </c>
      <c r="J202" s="8">
        <v>4577985.8875739649</v>
      </c>
      <c r="K202" s="8">
        <v>0</v>
      </c>
      <c r="L202" s="8">
        <f t="shared" si="7"/>
        <v>4577985.8875739649</v>
      </c>
      <c r="M202" s="8">
        <v>13740865.24</v>
      </c>
      <c r="N202" s="8">
        <f t="shared" si="8"/>
        <v>9162879.3524260353</v>
      </c>
    </row>
    <row r="203" spans="2:14" ht="45">
      <c r="B203" s="9" t="s">
        <v>777</v>
      </c>
      <c r="C203" s="9" t="s">
        <v>778</v>
      </c>
      <c r="D203" s="9" t="s">
        <v>1906</v>
      </c>
      <c r="E203" s="9" t="s">
        <v>777</v>
      </c>
      <c r="F203" s="7" t="s">
        <v>2701</v>
      </c>
      <c r="G203" s="9" t="s">
        <v>1582</v>
      </c>
      <c r="H203" s="9" t="s">
        <v>1581</v>
      </c>
      <c r="I203" s="8">
        <v>886500.35</v>
      </c>
      <c r="J203" s="6">
        <v>0.01</v>
      </c>
      <c r="K203" s="8">
        <v>0</v>
      </c>
      <c r="L203" s="8">
        <f t="shared" si="7"/>
        <v>0.01</v>
      </c>
      <c r="M203" s="8">
        <v>173488.12</v>
      </c>
      <c r="N203" s="8">
        <f t="shared" si="8"/>
        <v>173488.11</v>
      </c>
    </row>
    <row r="204" spans="2:14" ht="45">
      <c r="B204" s="9" t="s">
        <v>2762</v>
      </c>
      <c r="C204" s="9" t="s">
        <v>696</v>
      </c>
      <c r="D204" s="9" t="s">
        <v>2763</v>
      </c>
      <c r="E204" s="9" t="s">
        <v>2762</v>
      </c>
      <c r="F204" s="7" t="s">
        <v>2332</v>
      </c>
      <c r="G204" s="9" t="s">
        <v>1578</v>
      </c>
      <c r="H204" s="9" t="s">
        <v>1577</v>
      </c>
      <c r="I204" s="8">
        <v>81870.009999999995</v>
      </c>
      <c r="J204" s="8">
        <v>57994.255587000189</v>
      </c>
      <c r="K204" s="8">
        <v>0</v>
      </c>
      <c r="L204" s="8">
        <f t="shared" si="7"/>
        <v>57994.255587000189</v>
      </c>
      <c r="M204" s="8">
        <v>117417.96</v>
      </c>
      <c r="N204" s="8">
        <f t="shared" si="8"/>
        <v>59423.704412999818</v>
      </c>
    </row>
    <row r="205" spans="2:14" ht="60">
      <c r="B205" s="9" t="s">
        <v>783</v>
      </c>
      <c r="C205" s="9" t="s">
        <v>784</v>
      </c>
      <c r="D205" s="9" t="s">
        <v>1903</v>
      </c>
      <c r="E205" s="9" t="s">
        <v>783</v>
      </c>
      <c r="F205" s="7" t="s">
        <v>2662</v>
      </c>
      <c r="G205" s="9" t="s">
        <v>1582</v>
      </c>
      <c r="H205" s="9" t="s">
        <v>1581</v>
      </c>
      <c r="I205" s="8">
        <v>23686439.18</v>
      </c>
      <c r="J205" s="8">
        <v>3302369.8855421683</v>
      </c>
      <c r="K205" s="8">
        <v>0</v>
      </c>
      <c r="L205" s="8">
        <f t="shared" si="7"/>
        <v>3302369.8855421683</v>
      </c>
      <c r="M205" s="8">
        <v>5367347.12</v>
      </c>
      <c r="N205" s="8">
        <f t="shared" si="8"/>
        <v>2064977.2344578318</v>
      </c>
    </row>
    <row r="206" spans="2:14">
      <c r="B206" s="9" t="s">
        <v>786</v>
      </c>
      <c r="C206" s="9" t="s">
        <v>787</v>
      </c>
      <c r="D206" s="9" t="s">
        <v>1902</v>
      </c>
      <c r="E206" s="9" t="s">
        <v>786</v>
      </c>
      <c r="F206" s="7" t="s">
        <v>1901</v>
      </c>
      <c r="G206" s="9" t="s">
        <v>1578</v>
      </c>
      <c r="H206" s="9" t="s">
        <v>1581</v>
      </c>
      <c r="I206" s="8">
        <v>920018.21</v>
      </c>
      <c r="J206" s="8">
        <v>226366.47603335633</v>
      </c>
      <c r="K206" s="8">
        <v>0</v>
      </c>
      <c r="L206" s="8">
        <f t="shared" si="7"/>
        <v>226366.47603335633</v>
      </c>
      <c r="M206" s="8">
        <v>929218.39</v>
      </c>
      <c r="N206" s="8">
        <f t="shared" si="8"/>
        <v>702851.91396664362</v>
      </c>
    </row>
    <row r="207" spans="2:14" ht="60">
      <c r="B207" s="9" t="s">
        <v>228</v>
      </c>
      <c r="C207" s="9" t="s">
        <v>229</v>
      </c>
      <c r="D207" s="9" t="s">
        <v>1900</v>
      </c>
      <c r="E207" s="9" t="s">
        <v>228</v>
      </c>
      <c r="F207" s="7" t="s">
        <v>2630</v>
      </c>
      <c r="G207" s="9" t="s">
        <v>1582</v>
      </c>
      <c r="H207" s="9" t="s">
        <v>1581</v>
      </c>
      <c r="I207" s="8">
        <v>2759147.35</v>
      </c>
      <c r="J207" s="8">
        <v>264110.37349397584</v>
      </c>
      <c r="K207" s="8">
        <v>0</v>
      </c>
      <c r="L207" s="8">
        <f t="shared" si="7"/>
        <v>264110.37349397584</v>
      </c>
      <c r="M207" s="8">
        <v>401731.86</v>
      </c>
      <c r="N207" s="8">
        <f t="shared" si="8"/>
        <v>137621.48650602414</v>
      </c>
    </row>
    <row r="208" spans="2:14" ht="60">
      <c r="B208" s="9" t="s">
        <v>792</v>
      </c>
      <c r="C208" s="9" t="s">
        <v>793</v>
      </c>
      <c r="D208" s="9" t="s">
        <v>1897</v>
      </c>
      <c r="E208" s="9" t="s">
        <v>792</v>
      </c>
      <c r="F208" s="7" t="s">
        <v>2488</v>
      </c>
      <c r="G208" s="9" t="s">
        <v>1582</v>
      </c>
      <c r="H208" s="9" t="s">
        <v>1581</v>
      </c>
      <c r="I208" s="8">
        <v>90585042.319999993</v>
      </c>
      <c r="J208" s="8">
        <v>6218314.2366863908</v>
      </c>
      <c r="K208" s="8">
        <v>0</v>
      </c>
      <c r="L208" s="8">
        <f t="shared" si="7"/>
        <v>6218314.2366863908</v>
      </c>
      <c r="M208" s="8">
        <v>10870205.08</v>
      </c>
      <c r="N208" s="8">
        <f t="shared" si="8"/>
        <v>4651890.8433136092</v>
      </c>
    </row>
    <row r="209" spans="2:14" ht="45">
      <c r="B209" s="9" t="s">
        <v>789</v>
      </c>
      <c r="C209" s="9" t="s">
        <v>790</v>
      </c>
      <c r="D209" s="9" t="s">
        <v>1899</v>
      </c>
      <c r="E209" s="9" t="s">
        <v>789</v>
      </c>
      <c r="F209" s="7" t="s">
        <v>3685</v>
      </c>
      <c r="G209" s="9" t="s">
        <v>1582</v>
      </c>
      <c r="H209" s="9" t="s">
        <v>1581</v>
      </c>
      <c r="I209" s="8">
        <v>161023402.33000001</v>
      </c>
      <c r="J209" s="8">
        <v>9095341.8224852066</v>
      </c>
      <c r="K209" s="8">
        <v>0</v>
      </c>
      <c r="L209" s="8">
        <f t="shared" si="7"/>
        <v>9095341.8224852066</v>
      </c>
      <c r="M209" s="8">
        <v>21142372.719999999</v>
      </c>
      <c r="N209" s="8">
        <f t="shared" si="8"/>
        <v>12047030.897514792</v>
      </c>
    </row>
    <row r="210" spans="2:14">
      <c r="B210" s="9" t="s">
        <v>795</v>
      </c>
      <c r="C210" s="9" t="s">
        <v>796</v>
      </c>
      <c r="D210" s="9" t="s">
        <v>1896</v>
      </c>
      <c r="E210" s="9" t="s">
        <v>795</v>
      </c>
      <c r="F210" s="7" t="s">
        <v>2163</v>
      </c>
      <c r="G210" s="9" t="s">
        <v>1578</v>
      </c>
      <c r="H210" s="9" t="s">
        <v>1577</v>
      </c>
      <c r="I210" s="8">
        <v>27388.85</v>
      </c>
      <c r="J210" s="8">
        <v>42669.988686327088</v>
      </c>
      <c r="K210" s="8">
        <v>0</v>
      </c>
      <c r="L210" s="8">
        <f t="shared" si="7"/>
        <v>42669.988686327088</v>
      </c>
      <c r="M210" s="8">
        <v>21911.08</v>
      </c>
      <c r="N210" s="8">
        <f t="shared" si="8"/>
        <v>-20758.908686327086</v>
      </c>
    </row>
    <row r="211" spans="2:14" ht="45">
      <c r="B211" s="9" t="s">
        <v>234</v>
      </c>
      <c r="C211" s="9" t="s">
        <v>235</v>
      </c>
      <c r="D211" s="9" t="s">
        <v>2738</v>
      </c>
      <c r="E211" s="9" t="s">
        <v>234</v>
      </c>
      <c r="F211" s="7" t="s">
        <v>2471</v>
      </c>
      <c r="G211" s="9" t="s">
        <v>1582</v>
      </c>
      <c r="H211" s="9" t="s">
        <v>1581</v>
      </c>
      <c r="I211" s="8">
        <v>78251.649999999994</v>
      </c>
      <c r="J211" s="6">
        <v>0.01</v>
      </c>
      <c r="K211" s="8">
        <v>0</v>
      </c>
      <c r="L211" s="8">
        <f t="shared" si="7"/>
        <v>0.01</v>
      </c>
      <c r="M211" s="8">
        <v>31128.5</v>
      </c>
      <c r="N211" s="8">
        <f t="shared" si="8"/>
        <v>31128.49</v>
      </c>
    </row>
    <row r="212" spans="2:14" ht="60">
      <c r="B212" s="9" t="s">
        <v>798</v>
      </c>
      <c r="C212" s="9" t="s">
        <v>799</v>
      </c>
      <c r="D212" s="9" t="s">
        <v>1895</v>
      </c>
      <c r="E212" s="9" t="s">
        <v>798</v>
      </c>
      <c r="F212" s="7" t="s">
        <v>2466</v>
      </c>
      <c r="G212" s="9" t="s">
        <v>1578</v>
      </c>
      <c r="H212" s="9" t="s">
        <v>1577</v>
      </c>
      <c r="I212" s="8">
        <v>137159.87</v>
      </c>
      <c r="J212" s="8">
        <v>42471.493560124189</v>
      </c>
      <c r="K212" s="8">
        <v>0</v>
      </c>
      <c r="L212" s="8">
        <f t="shared" si="7"/>
        <v>42471.493560124189</v>
      </c>
      <c r="M212" s="8">
        <v>78962.94</v>
      </c>
      <c r="N212" s="8">
        <f t="shared" si="8"/>
        <v>36491.446439875814</v>
      </c>
    </row>
    <row r="213" spans="2:14" ht="30">
      <c r="B213" s="9" t="s">
        <v>804</v>
      </c>
      <c r="C213" s="9" t="s">
        <v>805</v>
      </c>
      <c r="D213" s="9" t="s">
        <v>1893</v>
      </c>
      <c r="E213" s="9" t="s">
        <v>804</v>
      </c>
      <c r="F213" s="7" t="s">
        <v>1892</v>
      </c>
      <c r="G213" s="9" t="s">
        <v>1578</v>
      </c>
      <c r="H213" s="9" t="s">
        <v>1577</v>
      </c>
      <c r="I213" s="8">
        <v>115185.51</v>
      </c>
      <c r="J213" s="8">
        <v>103697.52931834261</v>
      </c>
      <c r="K213" s="8">
        <v>0</v>
      </c>
      <c r="L213" s="8">
        <f t="shared" si="7"/>
        <v>103697.52931834261</v>
      </c>
      <c r="M213" s="8">
        <v>31411.09</v>
      </c>
      <c r="N213" s="8">
        <f t="shared" si="8"/>
        <v>-72286.439318342615</v>
      </c>
    </row>
    <row r="214" spans="2:14" ht="60">
      <c r="B214" s="9" t="s">
        <v>1177</v>
      </c>
      <c r="C214" s="9" t="s">
        <v>1178</v>
      </c>
      <c r="D214" s="9" t="s">
        <v>1594</v>
      </c>
      <c r="E214" s="9" t="s">
        <v>1177</v>
      </c>
      <c r="F214" s="7" t="s">
        <v>3686</v>
      </c>
      <c r="G214" s="9" t="s">
        <v>1578</v>
      </c>
      <c r="H214" s="9" t="s">
        <v>1577</v>
      </c>
      <c r="I214" s="8">
        <v>89196</v>
      </c>
      <c r="J214" s="8">
        <v>22241.070637703484</v>
      </c>
      <c r="K214" s="8">
        <v>0</v>
      </c>
      <c r="L214" s="8">
        <f t="shared" si="7"/>
        <v>22241.070637703484</v>
      </c>
      <c r="M214" s="8">
        <v>74773.009999999995</v>
      </c>
      <c r="N214" s="8">
        <f t="shared" si="8"/>
        <v>52531.939362296514</v>
      </c>
    </row>
    <row r="215" spans="2:14" ht="45">
      <c r="B215" s="9" t="s">
        <v>807</v>
      </c>
      <c r="C215" s="9" t="s">
        <v>808</v>
      </c>
      <c r="D215" s="9" t="s">
        <v>1888</v>
      </c>
      <c r="E215" s="9" t="s">
        <v>807</v>
      </c>
      <c r="F215" s="7" t="s">
        <v>2401</v>
      </c>
      <c r="G215" s="9" t="s">
        <v>1582</v>
      </c>
      <c r="H215" s="9" t="s">
        <v>1581</v>
      </c>
      <c r="I215" s="8">
        <v>131366700.90000001</v>
      </c>
      <c r="J215" s="8">
        <v>7627804.6304347822</v>
      </c>
      <c r="K215" s="8">
        <v>0</v>
      </c>
      <c r="L215" s="8">
        <f t="shared" si="7"/>
        <v>7627804.6304347822</v>
      </c>
      <c r="M215" s="8">
        <v>11941233.109999999</v>
      </c>
      <c r="N215" s="8">
        <f t="shared" si="8"/>
        <v>4313428.4795652172</v>
      </c>
    </row>
    <row r="216" spans="2:14" ht="45">
      <c r="B216" s="9" t="s">
        <v>237</v>
      </c>
      <c r="C216" s="9" t="s">
        <v>238</v>
      </c>
      <c r="D216" s="9" t="s">
        <v>1887</v>
      </c>
      <c r="E216" s="9" t="s">
        <v>237</v>
      </c>
      <c r="F216" s="7" t="s">
        <v>2452</v>
      </c>
      <c r="G216" s="9" t="s">
        <v>1582</v>
      </c>
      <c r="H216" s="9" t="s">
        <v>1581</v>
      </c>
      <c r="I216" s="8">
        <v>1112105.22</v>
      </c>
      <c r="J216" s="8">
        <v>119145.10624999997</v>
      </c>
      <c r="K216" s="8">
        <v>0</v>
      </c>
      <c r="L216" s="8">
        <f t="shared" si="7"/>
        <v>119145.10624999997</v>
      </c>
      <c r="M216" s="8">
        <v>244663.15</v>
      </c>
      <c r="N216" s="8">
        <f t="shared" si="8"/>
        <v>125518.04375000003</v>
      </c>
    </row>
    <row r="217" spans="2:14" ht="45">
      <c r="B217" s="9" t="e">
        <v>#N/A</v>
      </c>
      <c r="C217" s="9" t="s">
        <v>811</v>
      </c>
      <c r="D217" s="9" t="s">
        <v>1886</v>
      </c>
      <c r="E217" s="9" t="s">
        <v>3597</v>
      </c>
      <c r="F217" s="7" t="s">
        <v>3263</v>
      </c>
      <c r="G217" s="9" t="s">
        <v>1582</v>
      </c>
      <c r="H217" s="9" t="s">
        <v>1581</v>
      </c>
      <c r="I217" s="8">
        <v>177732.19</v>
      </c>
      <c r="J217" s="8">
        <v>23645.118750000001</v>
      </c>
      <c r="K217" s="8">
        <v>0</v>
      </c>
      <c r="L217" s="8">
        <f t="shared" si="7"/>
        <v>23645.118750000001</v>
      </c>
      <c r="M217" s="8">
        <v>31991.79</v>
      </c>
      <c r="N217" s="8">
        <f t="shared" si="8"/>
        <v>8346.6712499999994</v>
      </c>
    </row>
    <row r="218" spans="2:14" ht="30">
      <c r="B218" s="9" t="s">
        <v>816</v>
      </c>
      <c r="C218" s="9" t="s">
        <v>817</v>
      </c>
      <c r="D218" s="9" t="s">
        <v>1884</v>
      </c>
      <c r="E218" s="9" t="s">
        <v>816</v>
      </c>
      <c r="F218" s="7" t="s">
        <v>1883</v>
      </c>
      <c r="G218" s="9" t="s">
        <v>1582</v>
      </c>
      <c r="H218" s="9" t="s">
        <v>1577</v>
      </c>
      <c r="I218" s="8">
        <v>102499.33</v>
      </c>
      <c r="J218" s="8">
        <v>516.06827229899284</v>
      </c>
      <c r="K218" s="8">
        <v>0</v>
      </c>
      <c r="L218" s="8">
        <f t="shared" si="7"/>
        <v>516.06827229899284</v>
      </c>
      <c r="M218" s="8">
        <v>4222.97</v>
      </c>
      <c r="N218" s="8">
        <f t="shared" si="8"/>
        <v>3706.9017277010075</v>
      </c>
    </row>
    <row r="219" spans="2:14" ht="30">
      <c r="B219" s="9" t="s">
        <v>819</v>
      </c>
      <c r="C219" s="9" t="s">
        <v>820</v>
      </c>
      <c r="D219" s="9" t="s">
        <v>1882</v>
      </c>
      <c r="E219" s="9" t="s">
        <v>819</v>
      </c>
      <c r="F219" s="7" t="s">
        <v>1881</v>
      </c>
      <c r="G219" s="9" t="s">
        <v>1578</v>
      </c>
      <c r="H219" s="9" t="s">
        <v>1577</v>
      </c>
      <c r="I219" s="8">
        <v>24774.7</v>
      </c>
      <c r="J219" s="8">
        <v>12263.017704204996</v>
      </c>
      <c r="K219" s="8">
        <v>0</v>
      </c>
      <c r="L219" s="8">
        <f t="shared" si="7"/>
        <v>12263.017704204996</v>
      </c>
      <c r="M219" s="8">
        <v>14034.87</v>
      </c>
      <c r="N219" s="8">
        <f t="shared" si="8"/>
        <v>1771.8522957950045</v>
      </c>
    </row>
    <row r="220" spans="2:14" ht="60">
      <c r="B220" s="9" t="s">
        <v>822</v>
      </c>
      <c r="C220" s="9" t="s">
        <v>823</v>
      </c>
      <c r="D220" s="9" t="s">
        <v>1880</v>
      </c>
      <c r="E220" s="9" t="s">
        <v>822</v>
      </c>
      <c r="F220" s="7" t="s">
        <v>2499</v>
      </c>
      <c r="G220" s="9" t="s">
        <v>1578</v>
      </c>
      <c r="H220" s="9" t="s">
        <v>1581</v>
      </c>
      <c r="I220" s="8">
        <v>6556380.7300000004</v>
      </c>
      <c r="J220" s="8">
        <v>3034622.6859769206</v>
      </c>
      <c r="K220" s="8">
        <v>0</v>
      </c>
      <c r="L220" s="8">
        <f t="shared" si="7"/>
        <v>3034622.6859769206</v>
      </c>
      <c r="M220" s="8">
        <v>2648777.81</v>
      </c>
      <c r="N220" s="8">
        <f t="shared" si="8"/>
        <v>-385844.87597692059</v>
      </c>
    </row>
    <row r="221" spans="2:14" ht="30">
      <c r="B221" s="9" t="s">
        <v>1363</v>
      </c>
      <c r="C221" s="9" t="s">
        <v>1364</v>
      </c>
      <c r="D221" s="9" t="s">
        <v>1879</v>
      </c>
      <c r="E221" s="9" t="s">
        <v>1363</v>
      </c>
      <c r="F221" s="7" t="s">
        <v>1878</v>
      </c>
      <c r="G221" s="9" t="s">
        <v>1582</v>
      </c>
      <c r="H221" s="9" t="s">
        <v>1581</v>
      </c>
      <c r="I221" s="8">
        <v>4290350</v>
      </c>
      <c r="J221" s="8">
        <v>865488.91992481227</v>
      </c>
      <c r="K221" s="8">
        <v>0</v>
      </c>
      <c r="L221" s="8">
        <f t="shared" si="7"/>
        <v>865488.91992481227</v>
      </c>
      <c r="M221" s="8">
        <v>1673236.5</v>
      </c>
      <c r="N221" s="8">
        <f t="shared" si="8"/>
        <v>807747.58007518773</v>
      </c>
    </row>
    <row r="222" spans="2:14">
      <c r="B222" s="9" t="s">
        <v>825</v>
      </c>
      <c r="C222" s="9" t="s">
        <v>826</v>
      </c>
      <c r="D222" s="9" t="s">
        <v>1877</v>
      </c>
      <c r="E222" s="9" t="s">
        <v>825</v>
      </c>
      <c r="F222" s="7" t="s">
        <v>1876</v>
      </c>
      <c r="G222" s="9" t="s">
        <v>1578</v>
      </c>
      <c r="H222" s="9" t="s">
        <v>1577</v>
      </c>
      <c r="I222" s="8">
        <v>116799.77</v>
      </c>
      <c r="J222" s="8">
        <v>5932.8878233192836</v>
      </c>
      <c r="K222" s="8">
        <v>0</v>
      </c>
      <c r="L222" s="8">
        <f t="shared" si="7"/>
        <v>5932.8878233192836</v>
      </c>
      <c r="M222" s="8">
        <v>155717.46</v>
      </c>
      <c r="N222" s="8">
        <f t="shared" si="8"/>
        <v>149784.5721766807</v>
      </c>
    </row>
    <row r="223" spans="2:14" ht="45">
      <c r="B223" s="9" t="s">
        <v>828</v>
      </c>
      <c r="C223" s="9" t="s">
        <v>829</v>
      </c>
      <c r="D223" s="9" t="s">
        <v>1875</v>
      </c>
      <c r="E223" s="9" t="s">
        <v>828</v>
      </c>
      <c r="F223" s="7" t="s">
        <v>3687</v>
      </c>
      <c r="G223" s="9" t="s">
        <v>1582</v>
      </c>
      <c r="H223" s="9" t="s">
        <v>1581</v>
      </c>
      <c r="I223" s="8">
        <v>109408401.86</v>
      </c>
      <c r="J223" s="8">
        <v>6567241.0625</v>
      </c>
      <c r="K223" s="8">
        <v>0</v>
      </c>
      <c r="L223" s="8">
        <f t="shared" si="7"/>
        <v>6567241.0625</v>
      </c>
      <c r="M223" s="8">
        <v>14649785.01</v>
      </c>
      <c r="N223" s="8">
        <f t="shared" si="8"/>
        <v>8082543.9474999998</v>
      </c>
    </row>
    <row r="224" spans="2:14" ht="75">
      <c r="B224" s="9" t="s">
        <v>831</v>
      </c>
      <c r="C224" s="9" t="s">
        <v>832</v>
      </c>
      <c r="D224" s="9" t="s">
        <v>1874</v>
      </c>
      <c r="E224" s="9" t="s">
        <v>831</v>
      </c>
      <c r="F224" s="7" t="s">
        <v>3688</v>
      </c>
      <c r="G224" s="9" t="s">
        <v>1578</v>
      </c>
      <c r="H224" s="9" t="s">
        <v>1577</v>
      </c>
      <c r="I224" s="8">
        <v>1712274.02</v>
      </c>
      <c r="J224" s="8">
        <v>330581.48804720602</v>
      </c>
      <c r="K224" s="8">
        <v>0</v>
      </c>
      <c r="L224" s="8">
        <f t="shared" si="7"/>
        <v>330581.48804720602</v>
      </c>
      <c r="M224" s="8">
        <v>587994.9</v>
      </c>
      <c r="N224" s="8">
        <f t="shared" si="8"/>
        <v>257413.41195279401</v>
      </c>
    </row>
    <row r="225" spans="2:14" ht="30">
      <c r="B225" s="9" t="s">
        <v>13</v>
      </c>
      <c r="C225" s="9" t="s">
        <v>14</v>
      </c>
      <c r="D225" s="9" t="s">
        <v>1873</v>
      </c>
      <c r="E225" s="9" t="s">
        <v>13</v>
      </c>
      <c r="F225" s="7" t="s">
        <v>1869</v>
      </c>
      <c r="G225" s="9" t="s">
        <v>1582</v>
      </c>
      <c r="H225" s="9" t="s">
        <v>1581</v>
      </c>
      <c r="I225" s="8">
        <v>424830387.83999997</v>
      </c>
      <c r="J225" s="8">
        <v>56004593.367647052</v>
      </c>
      <c r="K225" s="8">
        <v>0</v>
      </c>
      <c r="L225" s="8">
        <f t="shared" si="7"/>
        <v>56004593.367647052</v>
      </c>
      <c r="M225" s="8">
        <v>118145330.86</v>
      </c>
      <c r="N225" s="8">
        <f t="shared" si="8"/>
        <v>62140737.492352948</v>
      </c>
    </row>
    <row r="226" spans="2:14" ht="45">
      <c r="B226" s="9" t="s">
        <v>1870</v>
      </c>
      <c r="C226" s="9" t="s">
        <v>1872</v>
      </c>
      <c r="D226" s="9" t="s">
        <v>1871</v>
      </c>
      <c r="E226" s="9" t="s">
        <v>1870</v>
      </c>
      <c r="F226" s="7" t="s">
        <v>2522</v>
      </c>
      <c r="G226" s="9" t="s">
        <v>1582</v>
      </c>
      <c r="H226" s="9" t="s">
        <v>1581</v>
      </c>
      <c r="I226" s="8">
        <v>4729896.01</v>
      </c>
      <c r="J226" s="8">
        <v>494311.04779411759</v>
      </c>
      <c r="K226" s="8">
        <v>0</v>
      </c>
      <c r="L226" s="8">
        <f t="shared" si="7"/>
        <v>494311.04779411759</v>
      </c>
      <c r="M226" s="8">
        <v>1371669.84</v>
      </c>
      <c r="N226" s="8">
        <f t="shared" si="8"/>
        <v>877358.79220588249</v>
      </c>
    </row>
    <row r="227" spans="2:14" ht="30">
      <c r="B227" s="9" t="s">
        <v>246</v>
      </c>
      <c r="C227" s="9" t="s">
        <v>247</v>
      </c>
      <c r="D227" s="9" t="s">
        <v>1867</v>
      </c>
      <c r="E227" s="9" t="s">
        <v>246</v>
      </c>
      <c r="F227" s="7" t="s">
        <v>1864</v>
      </c>
      <c r="G227" s="9" t="s">
        <v>1582</v>
      </c>
      <c r="H227" s="9" t="s">
        <v>1581</v>
      </c>
      <c r="I227" s="8">
        <v>61314752.920000002</v>
      </c>
      <c r="J227" s="8">
        <v>6394470.6875</v>
      </c>
      <c r="K227" s="8">
        <v>0</v>
      </c>
      <c r="L227" s="8">
        <f t="shared" si="7"/>
        <v>6394470.6875</v>
      </c>
      <c r="M227" s="8">
        <v>14862696.109999999</v>
      </c>
      <c r="N227" s="8">
        <f t="shared" si="8"/>
        <v>8468225.4224999994</v>
      </c>
    </row>
    <row r="228" spans="2:14" ht="45">
      <c r="B228" s="9" t="s">
        <v>835</v>
      </c>
      <c r="C228" s="9" t="s">
        <v>836</v>
      </c>
      <c r="D228" s="9" t="s">
        <v>1925</v>
      </c>
      <c r="E228" s="9" t="s">
        <v>835</v>
      </c>
      <c r="F228" s="7" t="s">
        <v>2502</v>
      </c>
      <c r="G228" s="9" t="s">
        <v>1582</v>
      </c>
      <c r="H228" s="9" t="s">
        <v>1581</v>
      </c>
      <c r="I228" s="8">
        <v>845435477.83000004</v>
      </c>
      <c r="J228" s="8">
        <v>111047290.08455881</v>
      </c>
      <c r="K228" s="8">
        <v>0</v>
      </c>
      <c r="L228" s="8">
        <f t="shared" si="7"/>
        <v>111047290.08455881</v>
      </c>
      <c r="M228" s="8">
        <v>217699635.53999999</v>
      </c>
      <c r="N228" s="8">
        <f t="shared" si="8"/>
        <v>106652345.45544118</v>
      </c>
    </row>
    <row r="229" spans="2:14" ht="45">
      <c r="B229" s="9" t="s">
        <v>240</v>
      </c>
      <c r="C229" s="9" t="s">
        <v>241</v>
      </c>
      <c r="D229" s="9" t="s">
        <v>1866</v>
      </c>
      <c r="E229" s="9" t="s">
        <v>240</v>
      </c>
      <c r="F229" s="7" t="s">
        <v>2509</v>
      </c>
      <c r="G229" s="9" t="s">
        <v>1582</v>
      </c>
      <c r="H229" s="9" t="s">
        <v>1581</v>
      </c>
      <c r="I229" s="8">
        <v>36355299.810000002</v>
      </c>
      <c r="J229" s="8">
        <v>4129299.3897058824</v>
      </c>
      <c r="K229" s="8">
        <v>0</v>
      </c>
      <c r="L229" s="8">
        <f t="shared" si="7"/>
        <v>4129299.3897058824</v>
      </c>
      <c r="M229" s="8">
        <v>9088824.9499999993</v>
      </c>
      <c r="N229" s="8">
        <f t="shared" si="8"/>
        <v>4959525.5602941168</v>
      </c>
    </row>
    <row r="230" spans="2:14" ht="45">
      <c r="B230" s="9" t="s">
        <v>838</v>
      </c>
      <c r="C230" s="9" t="s">
        <v>839</v>
      </c>
      <c r="D230" s="9" t="s">
        <v>1868</v>
      </c>
      <c r="E230" s="9" t="s">
        <v>838</v>
      </c>
      <c r="F230" s="7" t="s">
        <v>2519</v>
      </c>
      <c r="G230" s="9" t="s">
        <v>1582</v>
      </c>
      <c r="H230" s="9" t="s">
        <v>1581</v>
      </c>
      <c r="I230" s="8">
        <v>89541596.909999996</v>
      </c>
      <c r="J230" s="8">
        <v>10642230.091911767</v>
      </c>
      <c r="K230" s="8">
        <v>0</v>
      </c>
      <c r="L230" s="8">
        <f t="shared" si="7"/>
        <v>10642230.091911767</v>
      </c>
      <c r="M230" s="8">
        <v>23979239.66</v>
      </c>
      <c r="N230" s="8">
        <f t="shared" si="8"/>
        <v>13337009.568088233</v>
      </c>
    </row>
    <row r="231" spans="2:14" ht="45">
      <c r="B231" s="9" t="s">
        <v>243</v>
      </c>
      <c r="C231" s="9" t="s">
        <v>244</v>
      </c>
      <c r="D231" s="9" t="s">
        <v>1865</v>
      </c>
      <c r="E231" s="9" t="s">
        <v>243</v>
      </c>
      <c r="F231" s="7" t="s">
        <v>2538</v>
      </c>
      <c r="G231" s="9" t="s">
        <v>1582</v>
      </c>
      <c r="H231" s="9" t="s">
        <v>1581</v>
      </c>
      <c r="I231" s="8">
        <v>83692343.140000001</v>
      </c>
      <c r="J231" s="8">
        <v>9119404.1360294111</v>
      </c>
      <c r="K231" s="8">
        <v>0</v>
      </c>
      <c r="L231" s="8">
        <f t="shared" si="7"/>
        <v>9119404.1360294111</v>
      </c>
      <c r="M231" s="8">
        <v>21760009.219999999</v>
      </c>
      <c r="N231" s="8">
        <f t="shared" si="8"/>
        <v>12640605.083970588</v>
      </c>
    </row>
    <row r="232" spans="2:14" ht="45">
      <c r="B232" s="9" t="s">
        <v>1476</v>
      </c>
      <c r="C232" s="9" t="s">
        <v>1477</v>
      </c>
      <c r="D232" s="9" t="s">
        <v>1863</v>
      </c>
      <c r="E232" s="9" t="s">
        <v>1476</v>
      </c>
      <c r="F232" s="7" t="s">
        <v>2570</v>
      </c>
      <c r="G232" s="9" t="s">
        <v>1582</v>
      </c>
      <c r="H232" s="9" t="s">
        <v>1581</v>
      </c>
      <c r="I232" s="8">
        <v>62649.5</v>
      </c>
      <c r="J232" s="6">
        <v>0.01</v>
      </c>
      <c r="K232" s="8">
        <v>0</v>
      </c>
      <c r="L232" s="8">
        <f t="shared" si="7"/>
        <v>0.01</v>
      </c>
      <c r="M232" s="8">
        <v>25943.16</v>
      </c>
      <c r="N232" s="8">
        <f t="shared" si="8"/>
        <v>25943.15</v>
      </c>
    </row>
    <row r="233" spans="2:14" ht="45">
      <c r="B233" s="9" t="s">
        <v>249</v>
      </c>
      <c r="C233" s="9" t="s">
        <v>250</v>
      </c>
      <c r="D233" s="9" t="s">
        <v>1862</v>
      </c>
      <c r="E233" s="9" t="s">
        <v>249</v>
      </c>
      <c r="F233" s="7" t="s">
        <v>1861</v>
      </c>
      <c r="G233" s="9" t="s">
        <v>1582</v>
      </c>
      <c r="H233" s="9" t="s">
        <v>1581</v>
      </c>
      <c r="I233" s="8">
        <v>433187.39</v>
      </c>
      <c r="J233" s="8">
        <v>74488.095588235301</v>
      </c>
      <c r="K233" s="8">
        <v>0</v>
      </c>
      <c r="L233" s="8">
        <f t="shared" si="7"/>
        <v>74488.095588235301</v>
      </c>
      <c r="M233" s="8">
        <v>147283.71</v>
      </c>
      <c r="N233" s="8">
        <f t="shared" si="8"/>
        <v>72795.614411764691</v>
      </c>
    </row>
    <row r="234" spans="2:14" ht="60">
      <c r="B234" s="9" t="s">
        <v>841</v>
      </c>
      <c r="C234" s="9" t="s">
        <v>842</v>
      </c>
      <c r="D234" s="9" t="s">
        <v>1860</v>
      </c>
      <c r="E234" s="9" t="s">
        <v>841</v>
      </c>
      <c r="F234" s="7" t="s">
        <v>2572</v>
      </c>
      <c r="G234" s="9" t="s">
        <v>1582</v>
      </c>
      <c r="H234" s="9" t="s">
        <v>1581</v>
      </c>
      <c r="I234" s="8">
        <v>159128.67000000001</v>
      </c>
      <c r="J234" s="8">
        <v>26980.345588235301</v>
      </c>
      <c r="K234" s="8">
        <v>0</v>
      </c>
      <c r="L234" s="8">
        <f t="shared" si="7"/>
        <v>26980.345588235301</v>
      </c>
      <c r="M234" s="8">
        <v>39782.17</v>
      </c>
      <c r="N234" s="8">
        <f t="shared" si="8"/>
        <v>12801.824411764697</v>
      </c>
    </row>
    <row r="235" spans="2:14" ht="60">
      <c r="B235" s="9" t="s">
        <v>847</v>
      </c>
      <c r="C235" s="9" t="s">
        <v>848</v>
      </c>
      <c r="D235" s="9" t="s">
        <v>1859</v>
      </c>
      <c r="E235" s="9" t="s">
        <v>847</v>
      </c>
      <c r="F235" s="7" t="s">
        <v>2468</v>
      </c>
      <c r="G235" s="9" t="s">
        <v>1582</v>
      </c>
      <c r="H235" s="9" t="s">
        <v>1581</v>
      </c>
      <c r="I235" s="8">
        <v>10985521.42</v>
      </c>
      <c r="J235" s="8">
        <v>2784512.1370066698</v>
      </c>
      <c r="K235" s="8">
        <v>0</v>
      </c>
      <c r="L235" s="8">
        <f t="shared" si="7"/>
        <v>2784512.1370066698</v>
      </c>
      <c r="M235" s="8">
        <v>2489319.15</v>
      </c>
      <c r="N235" s="8">
        <f t="shared" si="8"/>
        <v>-295192.98700666986</v>
      </c>
    </row>
    <row r="236" spans="2:14" ht="30">
      <c r="B236" s="9" t="s">
        <v>850</v>
      </c>
      <c r="C236" s="9" t="s">
        <v>851</v>
      </c>
      <c r="D236" s="9" t="s">
        <v>1858</v>
      </c>
      <c r="E236" s="9" t="s">
        <v>850</v>
      </c>
      <c r="F236" s="7" t="s">
        <v>1857</v>
      </c>
      <c r="G236" s="9" t="s">
        <v>1578</v>
      </c>
      <c r="H236" s="9" t="s">
        <v>1577</v>
      </c>
      <c r="I236" s="8">
        <v>1379192.53</v>
      </c>
      <c r="J236" s="8">
        <v>685113.30982413958</v>
      </c>
      <c r="K236" s="8">
        <v>0</v>
      </c>
      <c r="L236" s="8">
        <f t="shared" si="7"/>
        <v>685113.30982413958</v>
      </c>
      <c r="M236" s="8">
        <v>860616.14</v>
      </c>
      <c r="N236" s="8">
        <f t="shared" si="8"/>
        <v>175502.83017586044</v>
      </c>
    </row>
    <row r="237" spans="2:14" ht="60">
      <c r="B237" s="9" t="s">
        <v>853</v>
      </c>
      <c r="C237" s="9" t="s">
        <v>854</v>
      </c>
      <c r="D237" s="9" t="s">
        <v>1856</v>
      </c>
      <c r="E237" s="9" t="s">
        <v>853</v>
      </c>
      <c r="F237" s="7" t="s">
        <v>3689</v>
      </c>
      <c r="G237" s="9" t="s">
        <v>1582</v>
      </c>
      <c r="H237" s="9" t="s">
        <v>1581</v>
      </c>
      <c r="I237" s="8">
        <v>28868621.57</v>
      </c>
      <c r="J237" s="8">
        <v>5991233.2755225059</v>
      </c>
      <c r="K237" s="8">
        <v>0</v>
      </c>
      <c r="L237" s="8">
        <f t="shared" si="7"/>
        <v>5991233.2755225059</v>
      </c>
      <c r="M237" s="8">
        <v>5946936.04</v>
      </c>
      <c r="N237" s="8">
        <f t="shared" si="8"/>
        <v>-44297.235522505827</v>
      </c>
    </row>
    <row r="238" spans="2:14" ht="30">
      <c r="B238" s="9" t="s">
        <v>856</v>
      </c>
      <c r="C238" s="9" t="s">
        <v>857</v>
      </c>
      <c r="D238" s="9" t="s">
        <v>1855</v>
      </c>
      <c r="E238" s="9" t="s">
        <v>856</v>
      </c>
      <c r="F238" s="7" t="s">
        <v>1854</v>
      </c>
      <c r="G238" s="9" t="s">
        <v>1582</v>
      </c>
      <c r="H238" s="9" t="s">
        <v>1577</v>
      </c>
      <c r="I238" s="8">
        <v>189397.78</v>
      </c>
      <c r="J238" s="8">
        <v>92483.869530343596</v>
      </c>
      <c r="K238" s="8">
        <v>0</v>
      </c>
      <c r="L238" s="8">
        <f t="shared" si="7"/>
        <v>92483.869530343596</v>
      </c>
      <c r="M238" s="8">
        <v>173620.94</v>
      </c>
      <c r="N238" s="8">
        <f t="shared" si="8"/>
        <v>81137.070469656406</v>
      </c>
    </row>
    <row r="239" spans="2:14" ht="60">
      <c r="B239" s="9" t="s">
        <v>258</v>
      </c>
      <c r="C239" s="9" t="s">
        <v>259</v>
      </c>
      <c r="D239" s="9" t="s">
        <v>1851</v>
      </c>
      <c r="E239" s="9" t="s">
        <v>258</v>
      </c>
      <c r="F239" s="7" t="s">
        <v>2550</v>
      </c>
      <c r="G239" s="9" t="s">
        <v>1582</v>
      </c>
      <c r="H239" s="9" t="s">
        <v>1581</v>
      </c>
      <c r="I239" s="8">
        <v>21439938.699999999</v>
      </c>
      <c r="J239" s="8">
        <v>818317.34926470602</v>
      </c>
      <c r="K239" s="8">
        <v>0</v>
      </c>
      <c r="L239" s="8">
        <f t="shared" si="7"/>
        <v>818317.34926470602</v>
      </c>
      <c r="M239" s="8">
        <v>2787192.03</v>
      </c>
      <c r="N239" s="8">
        <f t="shared" si="8"/>
        <v>1968874.6807352938</v>
      </c>
    </row>
    <row r="240" spans="2:14" ht="60">
      <c r="B240" s="9" t="s">
        <v>261</v>
      </c>
      <c r="C240" s="9" t="s">
        <v>262</v>
      </c>
      <c r="D240" s="9" t="s">
        <v>1852</v>
      </c>
      <c r="E240" s="9" t="s">
        <v>261</v>
      </c>
      <c r="F240" s="7" t="s">
        <v>2564</v>
      </c>
      <c r="G240" s="9" t="s">
        <v>1582</v>
      </c>
      <c r="H240" s="9" t="s">
        <v>1581</v>
      </c>
      <c r="I240" s="8">
        <v>58793151.740000002</v>
      </c>
      <c r="J240" s="8">
        <v>4314090.4705882352</v>
      </c>
      <c r="K240" s="8">
        <v>0</v>
      </c>
      <c r="L240" s="8">
        <f t="shared" si="7"/>
        <v>4314090.4705882352</v>
      </c>
      <c r="M240" s="8">
        <v>9994835.8000000007</v>
      </c>
      <c r="N240" s="8">
        <f t="shared" si="8"/>
        <v>5680745.3294117656</v>
      </c>
    </row>
    <row r="241" spans="2:14" ht="60">
      <c r="B241" s="9" t="s">
        <v>862</v>
      </c>
      <c r="C241" s="9" t="s">
        <v>863</v>
      </c>
      <c r="D241" s="9" t="s">
        <v>1849</v>
      </c>
      <c r="E241" s="9" t="s">
        <v>862</v>
      </c>
      <c r="F241" s="7" t="s">
        <v>2686</v>
      </c>
      <c r="G241" s="9" t="s">
        <v>1582</v>
      </c>
      <c r="H241" s="9" t="s">
        <v>1581</v>
      </c>
      <c r="I241" s="8">
        <v>7807070.79</v>
      </c>
      <c r="J241" s="8">
        <v>1315437.0695123649</v>
      </c>
      <c r="K241" s="8">
        <v>0</v>
      </c>
      <c r="L241" s="8">
        <f t="shared" si="7"/>
        <v>1315437.0695123649</v>
      </c>
      <c r="M241" s="8">
        <v>1367018.09</v>
      </c>
      <c r="N241" s="8">
        <f t="shared" si="8"/>
        <v>51581.020487635164</v>
      </c>
    </row>
    <row r="242" spans="2:14" ht="60">
      <c r="B242" s="9" t="s">
        <v>865</v>
      </c>
      <c r="C242" s="9" t="s">
        <v>866</v>
      </c>
      <c r="D242" s="9" t="s">
        <v>1850</v>
      </c>
      <c r="E242" s="9" t="s">
        <v>865</v>
      </c>
      <c r="F242" s="7" t="s">
        <v>3690</v>
      </c>
      <c r="G242" s="9" t="s">
        <v>1582</v>
      </c>
      <c r="H242" s="9" t="s">
        <v>1581</v>
      </c>
      <c r="I242" s="8">
        <v>100615176.7</v>
      </c>
      <c r="J242" s="8">
        <v>8679634.8343558311</v>
      </c>
      <c r="K242" s="8">
        <v>0</v>
      </c>
      <c r="L242" s="8">
        <f t="shared" si="7"/>
        <v>8679634.8343558311</v>
      </c>
      <c r="M242" s="8">
        <v>12556774.050000001</v>
      </c>
      <c r="N242" s="8">
        <f t="shared" si="8"/>
        <v>3877139.2156441696</v>
      </c>
    </row>
    <row r="243" spans="2:14">
      <c r="B243" s="9" t="s">
        <v>868</v>
      </c>
      <c r="C243" s="9" t="s">
        <v>869</v>
      </c>
      <c r="D243" s="9" t="s">
        <v>1848</v>
      </c>
      <c r="E243" s="9" t="s">
        <v>868</v>
      </c>
      <c r="F243" s="7" t="s">
        <v>1847</v>
      </c>
      <c r="G243" s="9" t="s">
        <v>1582</v>
      </c>
      <c r="H243" s="9" t="s">
        <v>1581</v>
      </c>
      <c r="I243" s="8">
        <v>974869536.13000011</v>
      </c>
      <c r="J243" s="8">
        <v>83557494.926380366</v>
      </c>
      <c r="K243" s="8">
        <v>0</v>
      </c>
      <c r="L243" s="8">
        <f t="shared" si="7"/>
        <v>83557494.926380366</v>
      </c>
      <c r="M243" s="8">
        <v>130535030.89</v>
      </c>
      <c r="N243" s="8">
        <f t="shared" si="8"/>
        <v>46977535.963619635</v>
      </c>
    </row>
    <row r="244" spans="2:14" ht="45">
      <c r="B244" s="9" t="s">
        <v>871</v>
      </c>
      <c r="C244" s="9" t="s">
        <v>872</v>
      </c>
      <c r="D244" s="9" t="s">
        <v>1846</v>
      </c>
      <c r="E244" s="9" t="s">
        <v>871</v>
      </c>
      <c r="F244" s="7" t="s">
        <v>2448</v>
      </c>
      <c r="G244" s="9" t="s">
        <v>1582</v>
      </c>
      <c r="H244" s="9" t="s">
        <v>1581</v>
      </c>
      <c r="I244" s="8">
        <v>3611784.35</v>
      </c>
      <c r="J244" s="8">
        <v>1626035.1107413729</v>
      </c>
      <c r="K244" s="8">
        <v>0</v>
      </c>
      <c r="L244" s="8">
        <f t="shared" si="7"/>
        <v>1626035.1107413729</v>
      </c>
      <c r="M244" s="8">
        <v>2306485.4900000002</v>
      </c>
      <c r="N244" s="8">
        <f t="shared" si="8"/>
        <v>680450.3792586273</v>
      </c>
    </row>
    <row r="245" spans="2:14" ht="60">
      <c r="B245" s="9" t="s">
        <v>874</v>
      </c>
      <c r="C245" s="9" t="s">
        <v>875</v>
      </c>
      <c r="D245" s="9" t="s">
        <v>1845</v>
      </c>
      <c r="E245" s="9" t="s">
        <v>874</v>
      </c>
      <c r="F245" s="7" t="s">
        <v>2660</v>
      </c>
      <c r="G245" s="9" t="s">
        <v>1582</v>
      </c>
      <c r="H245" s="9" t="s">
        <v>1581</v>
      </c>
      <c r="I245" s="8">
        <v>79694233.590000004</v>
      </c>
      <c r="J245" s="8">
        <v>8347682.3072289135</v>
      </c>
      <c r="K245" s="8">
        <v>0</v>
      </c>
      <c r="L245" s="8">
        <f t="shared" si="7"/>
        <v>8347682.3072289135</v>
      </c>
      <c r="M245" s="8">
        <v>17237862.719999999</v>
      </c>
      <c r="N245" s="8">
        <f t="shared" si="8"/>
        <v>8890180.4127710853</v>
      </c>
    </row>
    <row r="246" spans="2:14" ht="60">
      <c r="B246" s="9" t="s">
        <v>264</v>
      </c>
      <c r="C246" s="9" t="s">
        <v>265</v>
      </c>
      <c r="D246" s="9" t="s">
        <v>1844</v>
      </c>
      <c r="E246" s="9" t="s">
        <v>264</v>
      </c>
      <c r="F246" s="7" t="s">
        <v>2261</v>
      </c>
      <c r="G246" s="9" t="s">
        <v>1582</v>
      </c>
      <c r="H246" s="9" t="s">
        <v>1581</v>
      </c>
      <c r="I246" s="8">
        <v>27365069.350000001</v>
      </c>
      <c r="J246" s="8">
        <v>2598574.8437499995</v>
      </c>
      <c r="K246" s="8">
        <v>0</v>
      </c>
      <c r="L246" s="8">
        <f t="shared" si="7"/>
        <v>2598574.8437499995</v>
      </c>
      <c r="M246" s="8">
        <v>4791623.6399999997</v>
      </c>
      <c r="N246" s="8">
        <f t="shared" si="8"/>
        <v>2193048.7962500001</v>
      </c>
    </row>
    <row r="247" spans="2:14" ht="60">
      <c r="B247" s="9" t="s">
        <v>877</v>
      </c>
      <c r="C247" s="9" t="s">
        <v>878</v>
      </c>
      <c r="D247" s="9" t="s">
        <v>1843</v>
      </c>
      <c r="E247" s="9" t="s">
        <v>877</v>
      </c>
      <c r="F247" s="7" t="s">
        <v>3691</v>
      </c>
      <c r="G247" s="9" t="s">
        <v>1582</v>
      </c>
      <c r="H247" s="9" t="s">
        <v>1581</v>
      </c>
      <c r="I247" s="8">
        <v>11479547.449999999</v>
      </c>
      <c r="J247" s="8">
        <v>2958192.256682809</v>
      </c>
      <c r="K247" s="8">
        <v>0</v>
      </c>
      <c r="L247" s="8">
        <f t="shared" si="7"/>
        <v>2958192.256682809</v>
      </c>
      <c r="M247" s="8">
        <v>3074222.81</v>
      </c>
      <c r="N247" s="8">
        <f t="shared" si="8"/>
        <v>116030.55331719108</v>
      </c>
    </row>
    <row r="248" spans="2:14" ht="60">
      <c r="B248" s="9" t="s">
        <v>3598</v>
      </c>
      <c r="C248" s="9" t="s">
        <v>3077</v>
      </c>
      <c r="D248" s="9" t="s">
        <v>3284</v>
      </c>
      <c r="E248" s="9" t="s">
        <v>3598</v>
      </c>
      <c r="F248" s="7" t="s">
        <v>3692</v>
      </c>
      <c r="G248" s="9" t="s">
        <v>1582</v>
      </c>
      <c r="H248" s="9" t="s">
        <v>1581</v>
      </c>
      <c r="I248" s="8">
        <v>294002.33</v>
      </c>
      <c r="J248" s="8">
        <v>25781.77</v>
      </c>
      <c r="K248" s="8">
        <v>0</v>
      </c>
      <c r="L248" s="8">
        <f t="shared" si="7"/>
        <v>25781.77</v>
      </c>
      <c r="M248" s="8">
        <v>80174.44</v>
      </c>
      <c r="N248" s="8">
        <f t="shared" si="8"/>
        <v>54392.67</v>
      </c>
    </row>
    <row r="249" spans="2:14" ht="45">
      <c r="B249" s="9" t="s">
        <v>880</v>
      </c>
      <c r="C249" s="9" t="s">
        <v>881</v>
      </c>
      <c r="D249" s="9" t="s">
        <v>1842</v>
      </c>
      <c r="E249" s="9" t="s">
        <v>880</v>
      </c>
      <c r="F249" s="7" t="s">
        <v>2649</v>
      </c>
      <c r="G249" s="9" t="s">
        <v>1582</v>
      </c>
      <c r="H249" s="9" t="s">
        <v>1581</v>
      </c>
      <c r="I249" s="8">
        <v>126500800.64</v>
      </c>
      <c r="J249" s="8">
        <v>18201051.210843369</v>
      </c>
      <c r="K249" s="8">
        <v>0</v>
      </c>
      <c r="L249" s="8">
        <f t="shared" si="7"/>
        <v>18201051.210843369</v>
      </c>
      <c r="M249" s="8">
        <v>39088747.399999999</v>
      </c>
      <c r="N249" s="8">
        <f t="shared" si="8"/>
        <v>20887696.189156629</v>
      </c>
    </row>
    <row r="250" spans="2:14" ht="60">
      <c r="B250" s="9" t="s">
        <v>267</v>
      </c>
      <c r="C250" s="9" t="s">
        <v>268</v>
      </c>
      <c r="D250" s="9" t="s">
        <v>1841</v>
      </c>
      <c r="E250" s="9" t="s">
        <v>267</v>
      </c>
      <c r="F250" s="7" t="s">
        <v>2670</v>
      </c>
      <c r="G250" s="9" t="s">
        <v>1582</v>
      </c>
      <c r="H250" s="9" t="s">
        <v>1581</v>
      </c>
      <c r="I250" s="8">
        <v>44325045.090000004</v>
      </c>
      <c r="J250" s="8">
        <v>4510371.5542168673</v>
      </c>
      <c r="K250" s="8">
        <v>0</v>
      </c>
      <c r="L250" s="8">
        <f t="shared" si="7"/>
        <v>4510371.5542168673</v>
      </c>
      <c r="M250" s="8">
        <v>9130959.2899999991</v>
      </c>
      <c r="N250" s="8">
        <f t="shared" si="8"/>
        <v>4620587.7357831318</v>
      </c>
    </row>
    <row r="251" spans="2:14" ht="60">
      <c r="B251" s="9" t="s">
        <v>273</v>
      </c>
      <c r="C251" s="9" t="s">
        <v>274</v>
      </c>
      <c r="D251" s="9" t="s">
        <v>1840</v>
      </c>
      <c r="E251" s="9" t="s">
        <v>273</v>
      </c>
      <c r="F251" s="7" t="s">
        <v>2531</v>
      </c>
      <c r="G251" s="9" t="s">
        <v>1582</v>
      </c>
      <c r="H251" s="9" t="s">
        <v>1581</v>
      </c>
      <c r="I251" s="8">
        <v>43431914.659999996</v>
      </c>
      <c r="J251" s="8">
        <v>2431618.3051470593</v>
      </c>
      <c r="K251" s="8">
        <v>0</v>
      </c>
      <c r="L251" s="8">
        <f t="shared" si="7"/>
        <v>2431618.3051470593</v>
      </c>
      <c r="M251" s="8">
        <v>6514787.2000000002</v>
      </c>
      <c r="N251" s="8">
        <f t="shared" si="8"/>
        <v>4083168.8948529409</v>
      </c>
    </row>
    <row r="252" spans="2:14" ht="45">
      <c r="B252" s="9" t="s">
        <v>276</v>
      </c>
      <c r="C252" s="9" t="s">
        <v>277</v>
      </c>
      <c r="D252" s="9" t="s">
        <v>1839</v>
      </c>
      <c r="E252" s="9" t="s">
        <v>276</v>
      </c>
      <c r="F252" s="7" t="s">
        <v>2513</v>
      </c>
      <c r="G252" s="9" t="s">
        <v>1582</v>
      </c>
      <c r="H252" s="9" t="s">
        <v>1581</v>
      </c>
      <c r="I252" s="8">
        <v>102533141.58</v>
      </c>
      <c r="J252" s="8">
        <v>6551840.3088235334</v>
      </c>
      <c r="K252" s="8">
        <v>0</v>
      </c>
      <c r="L252" s="8">
        <f t="shared" si="7"/>
        <v>6551840.3088235334</v>
      </c>
      <c r="M252" s="8">
        <v>16405302.65</v>
      </c>
      <c r="N252" s="8">
        <f t="shared" si="8"/>
        <v>9853462.341176467</v>
      </c>
    </row>
    <row r="253" spans="2:14" ht="45">
      <c r="B253" s="9" t="s">
        <v>883</v>
      </c>
      <c r="C253" s="9" t="s">
        <v>884</v>
      </c>
      <c r="D253" s="9" t="s">
        <v>2028</v>
      </c>
      <c r="E253" s="9" t="s">
        <v>883</v>
      </c>
      <c r="F253" s="7" t="s">
        <v>2464</v>
      </c>
      <c r="G253" s="9" t="s">
        <v>1582</v>
      </c>
      <c r="H253" s="9" t="s">
        <v>1581</v>
      </c>
      <c r="I253" s="8">
        <v>174364214.25999999</v>
      </c>
      <c r="J253" s="8">
        <v>22115185.822033897</v>
      </c>
      <c r="K253" s="8">
        <v>0</v>
      </c>
      <c r="L253" s="8">
        <f t="shared" si="7"/>
        <v>22115185.822033897</v>
      </c>
      <c r="M253" s="8">
        <v>43102833.759999998</v>
      </c>
      <c r="N253" s="8">
        <f t="shared" si="8"/>
        <v>20987647.937966101</v>
      </c>
    </row>
    <row r="254" spans="2:14" ht="45">
      <c r="B254" s="9" t="s">
        <v>886</v>
      </c>
      <c r="C254" s="9" t="s">
        <v>887</v>
      </c>
      <c r="D254" s="9" t="s">
        <v>1837</v>
      </c>
      <c r="E254" s="9" t="s">
        <v>886</v>
      </c>
      <c r="F254" s="7" t="s">
        <v>2436</v>
      </c>
      <c r="G254" s="9" t="s">
        <v>1582</v>
      </c>
      <c r="H254" s="9" t="s">
        <v>1581</v>
      </c>
      <c r="I254" s="8">
        <v>33594909.850000001</v>
      </c>
      <c r="J254" s="8">
        <v>4764900.3076923089</v>
      </c>
      <c r="K254" s="8">
        <v>0</v>
      </c>
      <c r="L254" s="8">
        <f t="shared" si="7"/>
        <v>4764900.3076923089</v>
      </c>
      <c r="M254" s="8">
        <v>8143406.1399999997</v>
      </c>
      <c r="N254" s="8">
        <f t="shared" si="8"/>
        <v>3378505.8323076908</v>
      </c>
    </row>
    <row r="255" spans="2:14" ht="60">
      <c r="B255" s="9" t="s">
        <v>279</v>
      </c>
      <c r="C255" s="9" t="s">
        <v>280</v>
      </c>
      <c r="D255" s="9" t="s">
        <v>1836</v>
      </c>
      <c r="E255" s="9" t="s">
        <v>279</v>
      </c>
      <c r="F255" s="7" t="s">
        <v>2423</v>
      </c>
      <c r="G255" s="9" t="s">
        <v>1582</v>
      </c>
      <c r="H255" s="9" t="s">
        <v>1577</v>
      </c>
      <c r="I255" s="8">
        <v>444173.3</v>
      </c>
      <c r="J255" s="8">
        <v>195096.61321050444</v>
      </c>
      <c r="K255" s="8">
        <v>0</v>
      </c>
      <c r="L255" s="8">
        <f t="shared" si="7"/>
        <v>195096.61321050444</v>
      </c>
      <c r="M255" s="8">
        <v>116639.91</v>
      </c>
      <c r="N255" s="8">
        <f t="shared" si="8"/>
        <v>-78456.703210504435</v>
      </c>
    </row>
    <row r="256" spans="2:14" ht="30">
      <c r="B256" s="9" t="s">
        <v>3596</v>
      </c>
      <c r="C256" s="9" t="s">
        <v>372</v>
      </c>
      <c r="D256" s="9" t="s">
        <v>3262</v>
      </c>
      <c r="E256" s="9" t="s">
        <v>3596</v>
      </c>
      <c r="F256" s="7" t="s">
        <v>3693</v>
      </c>
      <c r="G256" s="9" t="s">
        <v>1582</v>
      </c>
      <c r="H256" s="9" t="s">
        <v>1577</v>
      </c>
      <c r="I256" s="8">
        <v>3617.54</v>
      </c>
      <c r="J256" s="8">
        <v>2395.7218543046356</v>
      </c>
      <c r="K256" s="8">
        <v>0</v>
      </c>
      <c r="L256" s="8">
        <f t="shared" si="7"/>
        <v>2395.7218543046356</v>
      </c>
      <c r="M256" s="8">
        <v>1166.3</v>
      </c>
      <c r="N256" s="8">
        <f t="shared" si="8"/>
        <v>-1229.4218543046356</v>
      </c>
    </row>
    <row r="257" spans="2:14" ht="60">
      <c r="B257" s="9" t="s">
        <v>889</v>
      </c>
      <c r="C257" s="9" t="s">
        <v>890</v>
      </c>
      <c r="D257" s="9" t="s">
        <v>1835</v>
      </c>
      <c r="E257" s="9" t="s">
        <v>889</v>
      </c>
      <c r="F257" s="7" t="s">
        <v>2371</v>
      </c>
      <c r="G257" s="9" t="s">
        <v>1578</v>
      </c>
      <c r="H257" s="9" t="s">
        <v>1581</v>
      </c>
      <c r="I257" s="8">
        <v>39436838.689999998</v>
      </c>
      <c r="J257" s="8">
        <v>5228517.3480662983</v>
      </c>
      <c r="K257" s="8">
        <v>13199494.25</v>
      </c>
      <c r="L257" s="8">
        <f t="shared" si="7"/>
        <v>18428011.5980663</v>
      </c>
      <c r="M257" s="8">
        <v>9161177.6300000008</v>
      </c>
      <c r="N257" s="8">
        <f t="shared" si="8"/>
        <v>-9266833.9680662993</v>
      </c>
    </row>
    <row r="258" spans="2:14" ht="45">
      <c r="B258" s="9" t="s">
        <v>590</v>
      </c>
      <c r="C258" s="9" t="s">
        <v>591</v>
      </c>
      <c r="D258" s="9" t="s">
        <v>1834</v>
      </c>
      <c r="E258" s="9" t="s">
        <v>590</v>
      </c>
      <c r="F258" s="7" t="s">
        <v>2490</v>
      </c>
      <c r="G258" s="9" t="s">
        <v>1582</v>
      </c>
      <c r="H258" s="9" t="s">
        <v>1581</v>
      </c>
      <c r="I258" s="8">
        <v>78841926.609999999</v>
      </c>
      <c r="J258" s="8">
        <v>5491981.5857988158</v>
      </c>
      <c r="K258" s="8">
        <v>0</v>
      </c>
      <c r="L258" s="8">
        <f t="shared" si="7"/>
        <v>5491981.5857988158</v>
      </c>
      <c r="M258" s="8">
        <v>13403127.52</v>
      </c>
      <c r="N258" s="8">
        <f t="shared" si="8"/>
        <v>7911145.9342011837</v>
      </c>
    </row>
    <row r="259" spans="2:14" ht="60">
      <c r="B259" s="9" t="s">
        <v>892</v>
      </c>
      <c r="C259" s="9" t="s">
        <v>893</v>
      </c>
      <c r="D259" s="9" t="s">
        <v>1833</v>
      </c>
      <c r="E259" s="9" t="s">
        <v>892</v>
      </c>
      <c r="F259" s="7" t="s">
        <v>2343</v>
      </c>
      <c r="G259" s="9" t="s">
        <v>1578</v>
      </c>
      <c r="H259" s="9" t="s">
        <v>1577</v>
      </c>
      <c r="I259" s="8">
        <v>55529.27</v>
      </c>
      <c r="J259" s="8">
        <v>21857.764757738834</v>
      </c>
      <c r="K259" s="8">
        <v>0</v>
      </c>
      <c r="L259" s="8">
        <f t="shared" si="7"/>
        <v>21857.764757738834</v>
      </c>
      <c r="M259" s="8">
        <v>91978.68</v>
      </c>
      <c r="N259" s="8">
        <f t="shared" si="8"/>
        <v>70120.915242261166</v>
      </c>
    </row>
    <row r="260" spans="2:14">
      <c r="B260" s="9" t="s">
        <v>895</v>
      </c>
      <c r="C260" s="9" t="s">
        <v>896</v>
      </c>
      <c r="D260" s="9" t="s">
        <v>1832</v>
      </c>
      <c r="E260" s="9" t="s">
        <v>895</v>
      </c>
      <c r="F260" s="7" t="s">
        <v>3694</v>
      </c>
      <c r="G260" s="9" t="s">
        <v>1578</v>
      </c>
      <c r="H260" s="9" t="s">
        <v>1577</v>
      </c>
      <c r="I260" s="8">
        <v>1606188.89</v>
      </c>
      <c r="J260" s="8">
        <v>798963.51825736568</v>
      </c>
      <c r="K260" s="8">
        <v>0</v>
      </c>
      <c r="L260" s="8">
        <f t="shared" si="7"/>
        <v>798963.51825736568</v>
      </c>
      <c r="M260" s="8">
        <v>496312.37</v>
      </c>
      <c r="N260" s="8">
        <f t="shared" si="8"/>
        <v>-302651.14825736568</v>
      </c>
    </row>
    <row r="261" spans="2:14" ht="30">
      <c r="B261" s="9" t="s">
        <v>288</v>
      </c>
      <c r="C261" s="9" t="s">
        <v>289</v>
      </c>
      <c r="D261" s="9" t="s">
        <v>1831</v>
      </c>
      <c r="E261" s="9" t="s">
        <v>288</v>
      </c>
      <c r="F261" s="7" t="s">
        <v>1830</v>
      </c>
      <c r="G261" s="9" t="s">
        <v>1582</v>
      </c>
      <c r="H261" s="9" t="s">
        <v>1577</v>
      </c>
      <c r="I261" s="8">
        <v>488460.6</v>
      </c>
      <c r="J261" s="8">
        <v>100436.49893325925</v>
      </c>
      <c r="K261" s="8">
        <v>0</v>
      </c>
      <c r="L261" s="8">
        <f t="shared" si="7"/>
        <v>100436.49893325925</v>
      </c>
      <c r="M261" s="8">
        <v>100622.88</v>
      </c>
      <c r="N261" s="8">
        <f t="shared" si="8"/>
        <v>186.38106674075243</v>
      </c>
    </row>
    <row r="262" spans="2:14" ht="75">
      <c r="B262" s="9" t="s">
        <v>898</v>
      </c>
      <c r="C262" s="9" t="s">
        <v>899</v>
      </c>
      <c r="D262" s="9" t="s">
        <v>1829</v>
      </c>
      <c r="E262" s="9" t="s">
        <v>898</v>
      </c>
      <c r="F262" s="7" t="s">
        <v>2398</v>
      </c>
      <c r="G262" s="9" t="s">
        <v>1582</v>
      </c>
      <c r="H262" s="9" t="s">
        <v>1581</v>
      </c>
      <c r="I262" s="8">
        <v>199045475.97</v>
      </c>
      <c r="J262" s="8">
        <v>16794850.266304351</v>
      </c>
      <c r="K262" s="8">
        <v>0</v>
      </c>
      <c r="L262" s="8">
        <f t="shared" si="7"/>
        <v>16794850.266304351</v>
      </c>
      <c r="M262" s="8">
        <v>26652189.239999998</v>
      </c>
      <c r="N262" s="8">
        <f t="shared" si="8"/>
        <v>9857338.973695647</v>
      </c>
    </row>
    <row r="263" spans="2:14" ht="30">
      <c r="B263" s="9" t="s">
        <v>901</v>
      </c>
      <c r="C263" s="9" t="s">
        <v>902</v>
      </c>
      <c r="D263" s="9" t="s">
        <v>1828</v>
      </c>
      <c r="E263" s="9" t="s">
        <v>901</v>
      </c>
      <c r="F263" s="7" t="s">
        <v>1827</v>
      </c>
      <c r="G263" s="9" t="s">
        <v>1582</v>
      </c>
      <c r="H263" s="9" t="s">
        <v>1577</v>
      </c>
      <c r="I263" s="8">
        <v>21527.75</v>
      </c>
      <c r="J263" s="8">
        <v>12584.957343443431</v>
      </c>
      <c r="K263" s="8">
        <v>0</v>
      </c>
      <c r="L263" s="8">
        <f t="shared" si="7"/>
        <v>12584.957343443431</v>
      </c>
      <c r="M263" s="8">
        <v>6208.6</v>
      </c>
      <c r="N263" s="8">
        <f t="shared" si="8"/>
        <v>-6376.3573434434311</v>
      </c>
    </row>
    <row r="264" spans="2:14" ht="45">
      <c r="B264" s="9" t="s">
        <v>291</v>
      </c>
      <c r="C264" s="9" t="s">
        <v>292</v>
      </c>
      <c r="D264" s="9" t="s">
        <v>1826</v>
      </c>
      <c r="E264" s="9" t="s">
        <v>291</v>
      </c>
      <c r="F264" s="7" t="s">
        <v>3695</v>
      </c>
      <c r="G264" s="9" t="s">
        <v>1582</v>
      </c>
      <c r="H264" s="9" t="s">
        <v>1581</v>
      </c>
      <c r="I264" s="8">
        <v>36220.379999999997</v>
      </c>
      <c r="J264" s="8">
        <v>17709.602409638552</v>
      </c>
      <c r="K264" s="8">
        <v>0</v>
      </c>
      <c r="L264" s="8">
        <f t="shared" ref="L264:L327" si="9">J264+K264</f>
        <v>17709.602409638552</v>
      </c>
      <c r="M264" s="8">
        <v>10866.11</v>
      </c>
      <c r="N264" s="8">
        <f t="shared" ref="N264:N327" si="10">M264-L264</f>
        <v>-6843.4924096385512</v>
      </c>
    </row>
    <row r="265" spans="2:14" ht="45">
      <c r="B265" s="9" t="s">
        <v>904</v>
      </c>
      <c r="C265" s="9" t="s">
        <v>905</v>
      </c>
      <c r="D265" s="9" t="s">
        <v>1825</v>
      </c>
      <c r="E265" s="9" t="s">
        <v>904</v>
      </c>
      <c r="F265" s="7" t="s">
        <v>2382</v>
      </c>
      <c r="G265" s="9" t="s">
        <v>1578</v>
      </c>
      <c r="H265" s="9" t="s">
        <v>1577</v>
      </c>
      <c r="I265" s="8">
        <v>7161.98</v>
      </c>
      <c r="J265" s="6">
        <v>0.01</v>
      </c>
      <c r="K265" s="8">
        <v>0</v>
      </c>
      <c r="L265" s="8">
        <f t="shared" si="9"/>
        <v>0.01</v>
      </c>
      <c r="M265" s="8">
        <v>663.92</v>
      </c>
      <c r="N265" s="8">
        <f t="shared" si="10"/>
        <v>663.91</v>
      </c>
    </row>
    <row r="266" spans="2:14" ht="45">
      <c r="B266" s="4" t="s">
        <v>3759</v>
      </c>
      <c r="C266" s="4" t="s">
        <v>3590</v>
      </c>
      <c r="D266" s="9" t="s">
        <v>1824</v>
      </c>
      <c r="E266" s="4" t="s">
        <v>3759</v>
      </c>
      <c r="F266" s="7" t="s">
        <v>2380</v>
      </c>
      <c r="G266" s="9" t="s">
        <v>1578</v>
      </c>
      <c r="H266" s="9" t="s">
        <v>1581</v>
      </c>
      <c r="I266" s="8">
        <v>13980738.75</v>
      </c>
      <c r="J266" s="8">
        <v>4346847.1589432694</v>
      </c>
      <c r="K266" s="8">
        <v>0</v>
      </c>
      <c r="L266" s="8">
        <f t="shared" si="9"/>
        <v>4346847.1589432694</v>
      </c>
      <c r="M266" s="8">
        <v>3850295.45</v>
      </c>
      <c r="N266" s="8">
        <f t="shared" si="10"/>
        <v>-496551.70894326922</v>
      </c>
    </row>
    <row r="267" spans="2:14" ht="30">
      <c r="B267" s="9" t="s">
        <v>908</v>
      </c>
      <c r="C267" s="9" t="s">
        <v>909</v>
      </c>
      <c r="D267" s="9" t="s">
        <v>1823</v>
      </c>
      <c r="E267" s="9" t="s">
        <v>908</v>
      </c>
      <c r="F267" s="7" t="s">
        <v>1822</v>
      </c>
      <c r="G267" s="9" t="s">
        <v>1582</v>
      </c>
      <c r="H267" s="9" t="s">
        <v>1581</v>
      </c>
      <c r="I267" s="8">
        <v>58771481.340000004</v>
      </c>
      <c r="J267" s="8">
        <v>5045937.8427267876</v>
      </c>
      <c r="K267" s="8">
        <v>0</v>
      </c>
      <c r="L267" s="8">
        <f t="shared" si="9"/>
        <v>5045937.8427267876</v>
      </c>
      <c r="M267" s="8">
        <v>15868299.960000001</v>
      </c>
      <c r="N267" s="8">
        <f t="shared" si="10"/>
        <v>10822362.117273213</v>
      </c>
    </row>
    <row r="268" spans="2:14" ht="45">
      <c r="B268" s="9" t="s">
        <v>911</v>
      </c>
      <c r="C268" s="9" t="s">
        <v>912</v>
      </c>
      <c r="D268" s="9" t="s">
        <v>1821</v>
      </c>
      <c r="E268" s="9" t="s">
        <v>911</v>
      </c>
      <c r="F268" s="7" t="s">
        <v>3696</v>
      </c>
      <c r="G268" s="9" t="s">
        <v>1582</v>
      </c>
      <c r="H268" s="9" t="s">
        <v>1581</v>
      </c>
      <c r="I268" s="8">
        <v>22300631.960000001</v>
      </c>
      <c r="J268" s="8">
        <v>3957441.2720002369</v>
      </c>
      <c r="K268" s="8">
        <v>0</v>
      </c>
      <c r="L268" s="8">
        <f t="shared" si="9"/>
        <v>3957441.2720002369</v>
      </c>
      <c r="M268" s="8">
        <v>3015045.44</v>
      </c>
      <c r="N268" s="8">
        <f t="shared" si="10"/>
        <v>-942395.83200023696</v>
      </c>
    </row>
    <row r="269" spans="2:14" ht="30">
      <c r="B269" s="9" t="s">
        <v>1484</v>
      </c>
      <c r="C269" s="9" t="s">
        <v>1485</v>
      </c>
      <c r="D269" s="9" t="s">
        <v>2739</v>
      </c>
      <c r="E269" s="9" t="s">
        <v>1484</v>
      </c>
      <c r="F269" s="7" t="s">
        <v>2692</v>
      </c>
      <c r="G269" s="9" t="s">
        <v>1582</v>
      </c>
      <c r="H269" s="9" t="s">
        <v>1581</v>
      </c>
      <c r="I269" s="8">
        <v>23574.6</v>
      </c>
      <c r="J269" s="6">
        <v>0.01</v>
      </c>
      <c r="K269" s="8">
        <v>0</v>
      </c>
      <c r="L269" s="8">
        <f t="shared" si="9"/>
        <v>0.01</v>
      </c>
      <c r="M269" s="8">
        <v>15559.24</v>
      </c>
      <c r="N269" s="8">
        <f t="shared" si="10"/>
        <v>15559.23</v>
      </c>
    </row>
    <row r="270" spans="2:14" ht="60">
      <c r="B270" s="9" t="s">
        <v>297</v>
      </c>
      <c r="C270" s="9" t="s">
        <v>298</v>
      </c>
      <c r="D270" s="9" t="s">
        <v>2740</v>
      </c>
      <c r="E270" s="9" t="s">
        <v>297</v>
      </c>
      <c r="F270" s="7" t="s">
        <v>2573</v>
      </c>
      <c r="G270" s="9" t="s">
        <v>1582</v>
      </c>
      <c r="H270" s="9" t="s">
        <v>1581</v>
      </c>
      <c r="I270" s="8">
        <v>120554.36</v>
      </c>
      <c r="J270" s="6">
        <v>0.01</v>
      </c>
      <c r="K270" s="8">
        <v>0</v>
      </c>
      <c r="L270" s="8">
        <f t="shared" si="9"/>
        <v>0.01</v>
      </c>
      <c r="M270" s="8">
        <v>31971.01</v>
      </c>
      <c r="N270" s="8">
        <f t="shared" si="10"/>
        <v>31971</v>
      </c>
    </row>
    <row r="271" spans="2:14" ht="30">
      <c r="B271" s="9" t="s">
        <v>1487</v>
      </c>
      <c r="C271" s="9" t="s">
        <v>1488</v>
      </c>
      <c r="D271" s="9" t="s">
        <v>2764</v>
      </c>
      <c r="E271" s="9" t="s">
        <v>1487</v>
      </c>
      <c r="F271" s="7" t="s">
        <v>2431</v>
      </c>
      <c r="G271" s="9" t="s">
        <v>1582</v>
      </c>
      <c r="H271" s="9" t="s">
        <v>1577</v>
      </c>
      <c r="I271" s="8">
        <v>5525481.21</v>
      </c>
      <c r="J271" s="8">
        <v>1637365.8503439697</v>
      </c>
      <c r="K271" s="8">
        <v>0</v>
      </c>
      <c r="L271" s="8">
        <f t="shared" si="9"/>
        <v>1637365.8503439697</v>
      </c>
      <c r="M271" s="8">
        <v>1593548.78</v>
      </c>
      <c r="N271" s="8">
        <f t="shared" si="10"/>
        <v>-43817.070343969623</v>
      </c>
    </row>
    <row r="272" spans="2:14" ht="45">
      <c r="B272" s="9" t="s">
        <v>920</v>
      </c>
      <c r="C272" s="9" t="s">
        <v>921</v>
      </c>
      <c r="D272" s="9" t="s">
        <v>1813</v>
      </c>
      <c r="E272" s="9" t="s">
        <v>920</v>
      </c>
      <c r="F272" s="7" t="s">
        <v>2383</v>
      </c>
      <c r="G272" s="9" t="s">
        <v>1578</v>
      </c>
      <c r="H272" s="9" t="s">
        <v>1581</v>
      </c>
      <c r="I272" s="8">
        <v>50396</v>
      </c>
      <c r="J272" s="8">
        <v>27252.100860140923</v>
      </c>
      <c r="K272" s="8">
        <v>0</v>
      </c>
      <c r="L272" s="8">
        <f t="shared" si="9"/>
        <v>27252.100860140923</v>
      </c>
      <c r="M272" s="8">
        <v>28030.26</v>
      </c>
      <c r="N272" s="8">
        <f t="shared" si="10"/>
        <v>778.15913985907537</v>
      </c>
    </row>
    <row r="273" spans="2:14" ht="45">
      <c r="B273" s="9" t="s">
        <v>2741</v>
      </c>
      <c r="C273" s="9" t="s">
        <v>1812</v>
      </c>
      <c r="D273" s="9" t="s">
        <v>1811</v>
      </c>
      <c r="E273" s="9" t="s">
        <v>2741</v>
      </c>
      <c r="F273" s="7" t="s">
        <v>3697</v>
      </c>
      <c r="G273" s="9" t="s">
        <v>1582</v>
      </c>
      <c r="H273" s="9" t="s">
        <v>1581</v>
      </c>
      <c r="I273" s="8">
        <v>62171537.160000004</v>
      </c>
      <c r="J273" s="8">
        <v>3452654.8308823537</v>
      </c>
      <c r="K273" s="8">
        <v>0</v>
      </c>
      <c r="L273" s="8">
        <f t="shared" si="9"/>
        <v>3452654.8308823537</v>
      </c>
      <c r="M273" s="8">
        <v>8324768.8200000003</v>
      </c>
      <c r="N273" s="8">
        <f t="shared" si="10"/>
        <v>4872113.9891176466</v>
      </c>
    </row>
    <row r="274" spans="2:14" ht="30">
      <c r="B274" s="9" t="s">
        <v>926</v>
      </c>
      <c r="C274" s="9" t="s">
        <v>927</v>
      </c>
      <c r="D274" s="9" t="s">
        <v>1810</v>
      </c>
      <c r="E274" s="9" t="s">
        <v>926</v>
      </c>
      <c r="F274" s="7" t="s">
        <v>2341</v>
      </c>
      <c r="G274" s="9" t="s">
        <v>1578</v>
      </c>
      <c r="H274" s="9" t="s">
        <v>1577</v>
      </c>
      <c r="I274" s="8">
        <v>52138.31</v>
      </c>
      <c r="J274" s="8">
        <v>53859.880045630431</v>
      </c>
      <c r="K274" s="8">
        <v>0</v>
      </c>
      <c r="L274" s="8">
        <f t="shared" si="9"/>
        <v>53859.880045630431</v>
      </c>
      <c r="M274" s="8">
        <v>44036.01</v>
      </c>
      <c r="N274" s="8">
        <f t="shared" si="10"/>
        <v>-9823.8700456304286</v>
      </c>
    </row>
    <row r="275" spans="2:14" ht="30">
      <c r="B275" s="9" t="s">
        <v>929</v>
      </c>
      <c r="C275" s="9" t="s">
        <v>930</v>
      </c>
      <c r="D275" s="9" t="s">
        <v>1809</v>
      </c>
      <c r="E275" s="9" t="s">
        <v>929</v>
      </c>
      <c r="F275" s="7" t="s">
        <v>3698</v>
      </c>
      <c r="G275" s="9" t="s">
        <v>1582</v>
      </c>
      <c r="H275" s="9" t="s">
        <v>1581</v>
      </c>
      <c r="I275" s="8">
        <v>40796892.859999999</v>
      </c>
      <c r="J275" s="8">
        <v>2831340.8250000002</v>
      </c>
      <c r="K275" s="8">
        <v>0</v>
      </c>
      <c r="L275" s="8">
        <f t="shared" si="9"/>
        <v>2831340.8250000002</v>
      </c>
      <c r="M275" s="8">
        <v>5091452.2300000004</v>
      </c>
      <c r="N275" s="8">
        <f t="shared" si="10"/>
        <v>2260111.4050000003</v>
      </c>
    </row>
    <row r="276" spans="2:14" ht="60">
      <c r="B276" s="9" t="s">
        <v>1568</v>
      </c>
      <c r="C276" s="9" t="s">
        <v>1808</v>
      </c>
      <c r="D276" s="9" t="s">
        <v>1807</v>
      </c>
      <c r="E276" s="9" t="s">
        <v>1568</v>
      </c>
      <c r="F276" s="7" t="s">
        <v>2458</v>
      </c>
      <c r="G276" s="9" t="s">
        <v>1582</v>
      </c>
      <c r="H276" s="9" t="s">
        <v>1581</v>
      </c>
      <c r="I276" s="8">
        <v>170245359.52000001</v>
      </c>
      <c r="J276" s="8">
        <v>14734900.899999999</v>
      </c>
      <c r="K276" s="8">
        <v>0</v>
      </c>
      <c r="L276" s="8">
        <f t="shared" si="9"/>
        <v>14734900.899999999</v>
      </c>
      <c r="M276" s="8">
        <v>25536803.93</v>
      </c>
      <c r="N276" s="8">
        <f t="shared" si="10"/>
        <v>10801903.030000001</v>
      </c>
    </row>
    <row r="277" spans="2:14" ht="45">
      <c r="B277" s="9" t="s">
        <v>1047</v>
      </c>
      <c r="C277" s="9" t="s">
        <v>1048</v>
      </c>
      <c r="D277" s="9" t="s">
        <v>1806</v>
      </c>
      <c r="E277" s="9" t="s">
        <v>1047</v>
      </c>
      <c r="F277" s="7" t="s">
        <v>2575</v>
      </c>
      <c r="G277" s="9" t="s">
        <v>1578</v>
      </c>
      <c r="H277" s="9" t="s">
        <v>1581</v>
      </c>
      <c r="I277" s="8">
        <v>21026740.59</v>
      </c>
      <c r="J277" s="8">
        <v>2228472.6358381505</v>
      </c>
      <c r="K277" s="8">
        <v>0</v>
      </c>
      <c r="L277" s="8">
        <f t="shared" si="9"/>
        <v>2228472.6358381505</v>
      </c>
      <c r="M277" s="8">
        <v>7216377.3700000001</v>
      </c>
      <c r="N277" s="8">
        <f t="shared" si="10"/>
        <v>4987904.7341618501</v>
      </c>
    </row>
    <row r="278" spans="2:14" ht="30">
      <c r="B278" s="9" t="s">
        <v>938</v>
      </c>
      <c r="C278" s="9" t="s">
        <v>939</v>
      </c>
      <c r="D278" s="9" t="s">
        <v>1805</v>
      </c>
      <c r="E278" s="9" t="s">
        <v>938</v>
      </c>
      <c r="F278" s="7" t="s">
        <v>2682</v>
      </c>
      <c r="G278" s="9" t="s">
        <v>1582</v>
      </c>
      <c r="H278" s="9" t="s">
        <v>1581</v>
      </c>
      <c r="I278" s="8">
        <v>20226138.620000001</v>
      </c>
      <c r="J278" s="8">
        <v>4799271.1468531471</v>
      </c>
      <c r="K278" s="8">
        <v>0</v>
      </c>
      <c r="L278" s="8">
        <f t="shared" si="9"/>
        <v>4799271.1468531471</v>
      </c>
      <c r="M278" s="8">
        <v>631055.53</v>
      </c>
      <c r="N278" s="8">
        <f t="shared" si="10"/>
        <v>-4168215.6168531468</v>
      </c>
    </row>
    <row r="279" spans="2:14" ht="45">
      <c r="B279" s="9" t="s">
        <v>941</v>
      </c>
      <c r="C279" s="9" t="s">
        <v>942</v>
      </c>
      <c r="D279" s="9" t="s">
        <v>1804</v>
      </c>
      <c r="E279" s="9" t="s">
        <v>941</v>
      </c>
      <c r="F279" s="7" t="s">
        <v>3699</v>
      </c>
      <c r="G279" s="9" t="s">
        <v>1578</v>
      </c>
      <c r="H279" s="9" t="s">
        <v>1577</v>
      </c>
      <c r="I279" s="8">
        <v>1105566.43</v>
      </c>
      <c r="J279" s="8">
        <v>599204.45073041366</v>
      </c>
      <c r="K279" s="8">
        <v>0</v>
      </c>
      <c r="L279" s="8">
        <f t="shared" si="9"/>
        <v>599204.45073041366</v>
      </c>
      <c r="M279" s="8">
        <v>647640.81999999995</v>
      </c>
      <c r="N279" s="8">
        <f t="shared" si="10"/>
        <v>48436.369269586285</v>
      </c>
    </row>
    <row r="280" spans="2:14" ht="45">
      <c r="B280" s="9" t="s">
        <v>944</v>
      </c>
      <c r="C280" s="9" t="s">
        <v>945</v>
      </c>
      <c r="D280" s="9" t="s">
        <v>1802</v>
      </c>
      <c r="E280" s="9" t="s">
        <v>944</v>
      </c>
      <c r="F280" s="7" t="s">
        <v>2364</v>
      </c>
      <c r="G280" s="9" t="s">
        <v>1582</v>
      </c>
      <c r="H280" s="9" t="s">
        <v>1581</v>
      </c>
      <c r="I280" s="8">
        <v>93484159.840000004</v>
      </c>
      <c r="J280" s="8">
        <v>7843799.1371428585</v>
      </c>
      <c r="K280" s="8">
        <v>0</v>
      </c>
      <c r="L280" s="8">
        <f t="shared" si="9"/>
        <v>7843799.1371428585</v>
      </c>
      <c r="M280" s="8">
        <v>14162850.220000001</v>
      </c>
      <c r="N280" s="8">
        <f t="shared" si="10"/>
        <v>6319051.0828571422</v>
      </c>
    </row>
    <row r="281" spans="2:14" ht="45">
      <c r="B281" s="9" t="s">
        <v>729</v>
      </c>
      <c r="C281" s="9" t="s">
        <v>730</v>
      </c>
      <c r="D281" s="9" t="s">
        <v>1965</v>
      </c>
      <c r="E281" s="9" t="s">
        <v>729</v>
      </c>
      <c r="F281" s="7" t="s">
        <v>3700</v>
      </c>
      <c r="G281" s="9" t="s">
        <v>1578</v>
      </c>
      <c r="H281" s="9" t="s">
        <v>1577</v>
      </c>
      <c r="I281" s="8">
        <v>236688</v>
      </c>
      <c r="J281" s="8">
        <v>95500.606497048473</v>
      </c>
      <c r="K281" s="8">
        <v>0</v>
      </c>
      <c r="L281" s="8">
        <f t="shared" si="9"/>
        <v>95500.606497048473</v>
      </c>
      <c r="M281" s="8">
        <v>51692.66</v>
      </c>
      <c r="N281" s="8">
        <f t="shared" si="10"/>
        <v>-43807.94649704847</v>
      </c>
    </row>
    <row r="282" spans="2:14" ht="75">
      <c r="B282" s="9" t="s">
        <v>304</v>
      </c>
      <c r="C282" s="9" t="s">
        <v>305</v>
      </c>
      <c r="D282" s="9" t="s">
        <v>2180</v>
      </c>
      <c r="E282" s="9" t="s">
        <v>304</v>
      </c>
      <c r="F282" s="7" t="s">
        <v>2704</v>
      </c>
      <c r="G282" s="9" t="s">
        <v>1582</v>
      </c>
      <c r="H282" s="9" t="s">
        <v>1581</v>
      </c>
      <c r="I282" s="8">
        <v>41403.85</v>
      </c>
      <c r="J282" s="8">
        <v>616.07361963190192</v>
      </c>
      <c r="K282" s="8">
        <v>0</v>
      </c>
      <c r="L282" s="8">
        <f t="shared" si="9"/>
        <v>616.07361963190192</v>
      </c>
      <c r="M282" s="8">
        <v>10765</v>
      </c>
      <c r="N282" s="8">
        <f t="shared" si="10"/>
        <v>10148.926380368099</v>
      </c>
    </row>
    <row r="283" spans="2:14" ht="45">
      <c r="B283" s="9" t="s">
        <v>950</v>
      </c>
      <c r="C283" s="9" t="s">
        <v>951</v>
      </c>
      <c r="D283" s="9" t="s">
        <v>1801</v>
      </c>
      <c r="E283" s="9" t="s">
        <v>950</v>
      </c>
      <c r="F283" s="7" t="s">
        <v>2562</v>
      </c>
      <c r="G283" s="9" t="s">
        <v>1582</v>
      </c>
      <c r="H283" s="9" t="s">
        <v>1581</v>
      </c>
      <c r="I283" s="8">
        <v>6141477.0899999999</v>
      </c>
      <c r="J283" s="8">
        <v>244269.66911764699</v>
      </c>
      <c r="K283" s="8">
        <v>0</v>
      </c>
      <c r="L283" s="8">
        <f t="shared" si="9"/>
        <v>244269.66911764699</v>
      </c>
      <c r="M283" s="8">
        <v>552732.93999999994</v>
      </c>
      <c r="N283" s="8">
        <f t="shared" si="10"/>
        <v>308463.27088235295</v>
      </c>
    </row>
    <row r="284" spans="2:14" ht="30">
      <c r="B284" s="9" t="s">
        <v>953</v>
      </c>
      <c r="C284" s="9" t="s">
        <v>954</v>
      </c>
      <c r="D284" s="9" t="s">
        <v>1800</v>
      </c>
      <c r="E284" s="9" t="s">
        <v>953</v>
      </c>
      <c r="F284" s="7" t="s">
        <v>1799</v>
      </c>
      <c r="G284" s="9" t="s">
        <v>1582</v>
      </c>
      <c r="H284" s="9" t="s">
        <v>1577</v>
      </c>
      <c r="I284" s="8">
        <v>52141.75</v>
      </c>
      <c r="J284" s="8">
        <v>61049.033588864884</v>
      </c>
      <c r="K284" s="8">
        <v>0</v>
      </c>
      <c r="L284" s="8">
        <f t="shared" si="9"/>
        <v>61049.033588864884</v>
      </c>
      <c r="M284" s="8">
        <v>31994.18</v>
      </c>
      <c r="N284" s="8">
        <f t="shared" si="10"/>
        <v>-29054.853588864884</v>
      </c>
    </row>
    <row r="285" spans="2:14" ht="60">
      <c r="B285" s="9" t="s">
        <v>1562</v>
      </c>
      <c r="C285" s="9" t="s">
        <v>1798</v>
      </c>
      <c r="D285" s="9" t="s">
        <v>1797</v>
      </c>
      <c r="E285" s="9" t="s">
        <v>1562</v>
      </c>
      <c r="F285" s="7" t="s">
        <v>2392</v>
      </c>
      <c r="G285" s="9" t="s">
        <v>1582</v>
      </c>
      <c r="H285" s="9" t="s">
        <v>1581</v>
      </c>
      <c r="I285" s="8">
        <v>28018416.77</v>
      </c>
      <c r="J285" s="8">
        <v>3883869.8318579611</v>
      </c>
      <c r="K285" s="8">
        <v>0</v>
      </c>
      <c r="L285" s="8">
        <f t="shared" si="9"/>
        <v>3883869.8318579611</v>
      </c>
      <c r="M285" s="8">
        <v>4202762.5199999996</v>
      </c>
      <c r="N285" s="8">
        <f t="shared" si="10"/>
        <v>318892.68814203842</v>
      </c>
    </row>
    <row r="286" spans="2:14" ht="30">
      <c r="B286" s="9" t="s">
        <v>956</v>
      </c>
      <c r="C286" s="9" t="s">
        <v>957</v>
      </c>
      <c r="D286" s="9" t="s">
        <v>1796</v>
      </c>
      <c r="E286" s="9" t="s">
        <v>956</v>
      </c>
      <c r="F286" s="7" t="s">
        <v>1795</v>
      </c>
      <c r="G286" s="9" t="s">
        <v>1578</v>
      </c>
      <c r="H286" s="9" t="s">
        <v>1581</v>
      </c>
      <c r="I286" s="8">
        <v>6886712.0999999996</v>
      </c>
      <c r="J286" s="8">
        <v>2839455.1687728083</v>
      </c>
      <c r="K286" s="8">
        <v>5998615.9199999999</v>
      </c>
      <c r="L286" s="8">
        <f t="shared" si="9"/>
        <v>8838071.0887728073</v>
      </c>
      <c r="M286" s="8">
        <v>2295341.14</v>
      </c>
      <c r="N286" s="8">
        <f t="shared" si="10"/>
        <v>-6542729.9487728067</v>
      </c>
    </row>
    <row r="287" spans="2:14" ht="45">
      <c r="B287" s="9" t="s">
        <v>2742</v>
      </c>
      <c r="C287" s="9" t="s">
        <v>2743</v>
      </c>
      <c r="D287" s="9" t="s">
        <v>2744</v>
      </c>
      <c r="E287" s="9" t="s">
        <v>2742</v>
      </c>
      <c r="F287" s="7" t="s">
        <v>3273</v>
      </c>
      <c r="G287" s="9" t="s">
        <v>1582</v>
      </c>
      <c r="H287" s="9" t="s">
        <v>1581</v>
      </c>
      <c r="I287" s="8">
        <v>984644.24</v>
      </c>
      <c r="J287" s="8">
        <v>75600</v>
      </c>
      <c r="K287" s="8">
        <v>0</v>
      </c>
      <c r="L287" s="8">
        <f t="shared" si="9"/>
        <v>75600</v>
      </c>
      <c r="M287" s="8">
        <v>160693.94</v>
      </c>
      <c r="N287" s="8">
        <f t="shared" si="10"/>
        <v>85093.94</v>
      </c>
    </row>
    <row r="288" spans="2:14" ht="60">
      <c r="B288" s="9" t="s">
        <v>311</v>
      </c>
      <c r="C288" s="9" t="s">
        <v>312</v>
      </c>
      <c r="D288" s="9" t="s">
        <v>2745</v>
      </c>
      <c r="E288" s="9" t="s">
        <v>311</v>
      </c>
      <c r="F288" s="7" t="s">
        <v>3701</v>
      </c>
      <c r="G288" s="9" t="s">
        <v>1582</v>
      </c>
      <c r="H288" s="9" t="s">
        <v>1581</v>
      </c>
      <c r="I288" s="8">
        <v>241742.8</v>
      </c>
      <c r="J288" s="6">
        <v>0.01</v>
      </c>
      <c r="K288" s="8">
        <v>0</v>
      </c>
      <c r="L288" s="8">
        <f t="shared" si="9"/>
        <v>0.01</v>
      </c>
      <c r="M288" s="8">
        <v>81370.62</v>
      </c>
      <c r="N288" s="8">
        <f t="shared" si="10"/>
        <v>81370.61</v>
      </c>
    </row>
    <row r="289" spans="2:14" ht="30">
      <c r="B289" s="9" t="s">
        <v>962</v>
      </c>
      <c r="C289" s="9" t="s">
        <v>963</v>
      </c>
      <c r="D289" s="9" t="s">
        <v>1791</v>
      </c>
      <c r="E289" s="9" t="s">
        <v>962</v>
      </c>
      <c r="F289" s="7" t="s">
        <v>1790</v>
      </c>
      <c r="G289" s="9" t="s">
        <v>1582</v>
      </c>
      <c r="H289" s="9" t="s">
        <v>1581</v>
      </c>
      <c r="I289" s="8">
        <v>1105884.02</v>
      </c>
      <c r="J289" s="8">
        <v>478423.64848983398</v>
      </c>
      <c r="K289" s="8">
        <v>0</v>
      </c>
      <c r="L289" s="8">
        <f t="shared" si="9"/>
        <v>478423.64848983398</v>
      </c>
      <c r="M289" s="8">
        <v>207021.48</v>
      </c>
      <c r="N289" s="8">
        <f t="shared" si="10"/>
        <v>-271402.16848983394</v>
      </c>
    </row>
    <row r="290" spans="2:14" ht="45">
      <c r="B290" s="9" t="s">
        <v>965</v>
      </c>
      <c r="C290" s="9" t="s">
        <v>966</v>
      </c>
      <c r="D290" s="9" t="s">
        <v>1789</v>
      </c>
      <c r="E290" s="9" t="s">
        <v>965</v>
      </c>
      <c r="F290" s="7" t="s">
        <v>3702</v>
      </c>
      <c r="G290" s="9" t="s">
        <v>3675</v>
      </c>
      <c r="H290" s="9" t="s">
        <v>1577</v>
      </c>
      <c r="I290" s="8">
        <v>28674.080000000002</v>
      </c>
      <c r="J290" s="8">
        <v>60357.005979610469</v>
      </c>
      <c r="K290" s="8">
        <v>0</v>
      </c>
      <c r="L290" s="8">
        <f t="shared" si="9"/>
        <v>60357.005979610469</v>
      </c>
      <c r="M290" s="8">
        <v>29250.43</v>
      </c>
      <c r="N290" s="8">
        <f t="shared" si="10"/>
        <v>-31106.575979610468</v>
      </c>
    </row>
    <row r="291" spans="2:14" ht="30">
      <c r="B291" s="9" t="s">
        <v>314</v>
      </c>
      <c r="C291" s="9" t="s">
        <v>315</v>
      </c>
      <c r="D291" s="9" t="s">
        <v>1787</v>
      </c>
      <c r="E291" s="9" t="s">
        <v>314</v>
      </c>
      <c r="F291" s="7" t="s">
        <v>2324</v>
      </c>
      <c r="G291" s="9" t="s">
        <v>1578</v>
      </c>
      <c r="H291" s="9" t="s">
        <v>1577</v>
      </c>
      <c r="I291" s="8">
        <v>1247442.51</v>
      </c>
      <c r="J291" s="8">
        <v>651654.76420115738</v>
      </c>
      <c r="K291" s="8">
        <v>0</v>
      </c>
      <c r="L291" s="8">
        <f t="shared" si="9"/>
        <v>651654.76420115738</v>
      </c>
      <c r="M291" s="8">
        <v>648670.11</v>
      </c>
      <c r="N291" s="8">
        <f t="shared" si="10"/>
        <v>-2984.6542011573911</v>
      </c>
    </row>
    <row r="292" spans="2:14" ht="60">
      <c r="B292" s="9" t="s">
        <v>968</v>
      </c>
      <c r="C292" s="9" t="s">
        <v>969</v>
      </c>
      <c r="D292" s="9" t="s">
        <v>1785</v>
      </c>
      <c r="E292" s="9" t="s">
        <v>968</v>
      </c>
      <c r="F292" s="7" t="s">
        <v>970</v>
      </c>
      <c r="G292" s="9" t="s">
        <v>1582</v>
      </c>
      <c r="H292" s="9" t="s">
        <v>1581</v>
      </c>
      <c r="I292" s="8">
        <v>64943.56</v>
      </c>
      <c r="J292" s="6">
        <v>0.01</v>
      </c>
      <c r="K292" s="8">
        <v>0</v>
      </c>
      <c r="L292" s="8">
        <f t="shared" si="9"/>
        <v>0.01</v>
      </c>
      <c r="M292" s="8">
        <v>14183.68</v>
      </c>
      <c r="N292" s="8">
        <f t="shared" si="10"/>
        <v>14183.67</v>
      </c>
    </row>
    <row r="293" spans="2:14" ht="45">
      <c r="B293" s="9" t="s">
        <v>317</v>
      </c>
      <c r="C293" s="9" t="s">
        <v>318</v>
      </c>
      <c r="D293" s="9" t="s">
        <v>1784</v>
      </c>
      <c r="E293" s="9" t="s">
        <v>317</v>
      </c>
      <c r="F293" s="7" t="s">
        <v>2453</v>
      </c>
      <c r="G293" s="9" t="s">
        <v>1582</v>
      </c>
      <c r="H293" s="9" t="s">
        <v>1581</v>
      </c>
      <c r="I293" s="8">
        <v>142673.68</v>
      </c>
      <c r="J293" s="8">
        <v>25501.562499999996</v>
      </c>
      <c r="K293" s="8">
        <v>0</v>
      </c>
      <c r="L293" s="8">
        <f t="shared" si="9"/>
        <v>25501.562499999996</v>
      </c>
      <c r="M293" s="8">
        <v>29961.47</v>
      </c>
      <c r="N293" s="8">
        <f t="shared" si="10"/>
        <v>4459.9075000000048</v>
      </c>
    </row>
    <row r="294" spans="2:14" ht="45">
      <c r="B294" s="9" t="s">
        <v>1180</v>
      </c>
      <c r="C294" s="9" t="s">
        <v>1181</v>
      </c>
      <c r="D294" s="9" t="s">
        <v>1584</v>
      </c>
      <c r="E294" s="9" t="s">
        <v>1180</v>
      </c>
      <c r="F294" s="7" t="s">
        <v>3703</v>
      </c>
      <c r="G294" s="9" t="s">
        <v>1582</v>
      </c>
      <c r="H294" s="9" t="s">
        <v>1581</v>
      </c>
      <c r="I294" s="8">
        <v>60520503.740000002</v>
      </c>
      <c r="J294" s="8">
        <v>8147363.5912453663</v>
      </c>
      <c r="K294" s="8">
        <v>0</v>
      </c>
      <c r="L294" s="8">
        <f t="shared" si="9"/>
        <v>8147363.5912453663</v>
      </c>
      <c r="M294" s="8">
        <v>5664719.1500000004</v>
      </c>
      <c r="N294" s="8">
        <f t="shared" si="10"/>
        <v>-2482644.4412453659</v>
      </c>
    </row>
    <row r="295" spans="2:14" ht="45">
      <c r="B295" s="9" t="s">
        <v>971</v>
      </c>
      <c r="C295" s="9" t="s">
        <v>972</v>
      </c>
      <c r="D295" s="9" t="s">
        <v>1783</v>
      </c>
      <c r="E295" s="9" t="s">
        <v>971</v>
      </c>
      <c r="F295" s="7" t="s">
        <v>2666</v>
      </c>
      <c r="G295" s="9" t="s">
        <v>1582</v>
      </c>
      <c r="H295" s="9" t="s">
        <v>1581</v>
      </c>
      <c r="I295" s="8">
        <v>47315611.710000001</v>
      </c>
      <c r="J295" s="8">
        <v>7978183.4096385539</v>
      </c>
      <c r="K295" s="8">
        <v>0</v>
      </c>
      <c r="L295" s="8">
        <f t="shared" si="9"/>
        <v>7978183.4096385539</v>
      </c>
      <c r="M295" s="8">
        <v>10234366.810000001</v>
      </c>
      <c r="N295" s="8">
        <f t="shared" si="10"/>
        <v>2256183.4003614467</v>
      </c>
    </row>
    <row r="296" spans="2:14" ht="45">
      <c r="B296" s="9" t="s">
        <v>320</v>
      </c>
      <c r="C296" s="9" t="s">
        <v>321</v>
      </c>
      <c r="D296" s="9" t="s">
        <v>2005</v>
      </c>
      <c r="E296" s="9" t="s">
        <v>320</v>
      </c>
      <c r="F296" s="7" t="s">
        <v>2391</v>
      </c>
      <c r="G296" s="9" t="s">
        <v>1582</v>
      </c>
      <c r="H296" s="9" t="s">
        <v>1577</v>
      </c>
      <c r="I296" s="8">
        <v>1800882.5</v>
      </c>
      <c r="J296" s="8">
        <v>393546.86269194825</v>
      </c>
      <c r="K296" s="8">
        <v>0</v>
      </c>
      <c r="L296" s="8">
        <f t="shared" si="9"/>
        <v>393546.86269194825</v>
      </c>
      <c r="M296" s="8">
        <v>436533.92</v>
      </c>
      <c r="N296" s="8">
        <f t="shared" si="10"/>
        <v>42987.057308051735</v>
      </c>
    </row>
    <row r="297" spans="2:14" ht="60">
      <c r="B297" s="9" t="s">
        <v>1495</v>
      </c>
      <c r="C297" s="9" t="s">
        <v>1496</v>
      </c>
      <c r="D297" s="9" t="s">
        <v>2746</v>
      </c>
      <c r="E297" s="9" t="s">
        <v>1495</v>
      </c>
      <c r="F297" s="7" t="s">
        <v>2669</v>
      </c>
      <c r="G297" s="9" t="s">
        <v>1582</v>
      </c>
      <c r="H297" s="9" t="s">
        <v>1581</v>
      </c>
      <c r="I297" s="8">
        <v>244452.43</v>
      </c>
      <c r="J297" s="8">
        <v>61200</v>
      </c>
      <c r="K297" s="8">
        <v>0</v>
      </c>
      <c r="L297" s="8">
        <f t="shared" si="9"/>
        <v>61200</v>
      </c>
      <c r="M297" s="8">
        <v>134448.84</v>
      </c>
      <c r="N297" s="8">
        <f t="shared" si="10"/>
        <v>73248.84</v>
      </c>
    </row>
    <row r="298" spans="2:14" ht="60">
      <c r="B298" s="9" t="s">
        <v>323</v>
      </c>
      <c r="C298" s="9" t="s">
        <v>324</v>
      </c>
      <c r="D298" s="9" t="s">
        <v>1782</v>
      </c>
      <c r="E298" s="9" t="s">
        <v>323</v>
      </c>
      <c r="F298" s="7" t="s">
        <v>2208</v>
      </c>
      <c r="G298" s="9" t="s">
        <v>1582</v>
      </c>
      <c r="H298" s="9" t="s">
        <v>1581</v>
      </c>
      <c r="I298" s="8">
        <v>332924.43</v>
      </c>
      <c r="J298" s="6">
        <v>0.01</v>
      </c>
      <c r="K298" s="8">
        <v>0</v>
      </c>
      <c r="L298" s="8">
        <f t="shared" si="9"/>
        <v>0.01</v>
      </c>
      <c r="M298" s="8">
        <v>121184.49</v>
      </c>
      <c r="N298" s="8">
        <f t="shared" si="10"/>
        <v>121184.48000000001</v>
      </c>
    </row>
    <row r="299" spans="2:14" ht="60">
      <c r="B299" s="9" t="s">
        <v>3152</v>
      </c>
      <c r="C299" s="9" t="s">
        <v>327</v>
      </c>
      <c r="D299" s="9" t="s">
        <v>1781</v>
      </c>
      <c r="E299" s="9" t="s">
        <v>3152</v>
      </c>
      <c r="F299" s="7" t="s">
        <v>328</v>
      </c>
      <c r="G299" s="9" t="s">
        <v>1582</v>
      </c>
      <c r="H299" s="9" t="s">
        <v>1581</v>
      </c>
      <c r="I299" s="8">
        <v>7250493.2199999997</v>
      </c>
      <c r="J299" s="8">
        <v>1337410.1779141105</v>
      </c>
      <c r="K299" s="8">
        <v>0</v>
      </c>
      <c r="L299" s="8">
        <f t="shared" si="9"/>
        <v>1337410.1779141105</v>
      </c>
      <c r="M299" s="8">
        <v>2688482.89</v>
      </c>
      <c r="N299" s="8">
        <f t="shared" si="10"/>
        <v>1351072.7120858897</v>
      </c>
    </row>
    <row r="300" spans="2:14" ht="60">
      <c r="B300" s="9" t="s">
        <v>329</v>
      </c>
      <c r="C300" s="9" t="s">
        <v>330</v>
      </c>
      <c r="D300" s="9" t="s">
        <v>2188</v>
      </c>
      <c r="E300" s="9" t="s">
        <v>329</v>
      </c>
      <c r="F300" s="7" t="s">
        <v>2306</v>
      </c>
      <c r="G300" s="9" t="s">
        <v>1582</v>
      </c>
      <c r="H300" s="9" t="s">
        <v>1581</v>
      </c>
      <c r="I300" s="8">
        <v>355674.91</v>
      </c>
      <c r="J300" s="6">
        <v>0.01</v>
      </c>
      <c r="K300" s="8">
        <v>0</v>
      </c>
      <c r="L300" s="8">
        <f t="shared" si="9"/>
        <v>0.01</v>
      </c>
      <c r="M300" s="8">
        <v>99873.52</v>
      </c>
      <c r="N300" s="8">
        <f t="shared" si="10"/>
        <v>99873.510000000009</v>
      </c>
    </row>
    <row r="301" spans="2:14" ht="75">
      <c r="B301" s="9" t="s">
        <v>332</v>
      </c>
      <c r="C301" s="9" t="s">
        <v>333</v>
      </c>
      <c r="D301" s="9" t="s">
        <v>2747</v>
      </c>
      <c r="E301" s="9" t="s">
        <v>332</v>
      </c>
      <c r="F301" s="7" t="s">
        <v>2693</v>
      </c>
      <c r="G301" s="9" t="s">
        <v>1582</v>
      </c>
      <c r="H301" s="9" t="s">
        <v>1581</v>
      </c>
      <c r="I301" s="8">
        <v>192412.96</v>
      </c>
      <c r="J301" s="6">
        <v>0.01</v>
      </c>
      <c r="K301" s="8">
        <v>0</v>
      </c>
      <c r="L301" s="8">
        <f t="shared" si="9"/>
        <v>0.01</v>
      </c>
      <c r="M301" s="8">
        <v>60244.5</v>
      </c>
      <c r="N301" s="8">
        <f t="shared" si="10"/>
        <v>60244.49</v>
      </c>
    </row>
    <row r="302" spans="2:14" ht="75">
      <c r="B302" s="9" t="s">
        <v>1539</v>
      </c>
      <c r="C302" s="9" t="s">
        <v>1540</v>
      </c>
      <c r="D302" s="9" t="s">
        <v>2748</v>
      </c>
      <c r="E302" s="9" t="s">
        <v>1539</v>
      </c>
      <c r="F302" s="7" t="s">
        <v>2314</v>
      </c>
      <c r="G302" s="9" t="s">
        <v>1582</v>
      </c>
      <c r="H302" s="9" t="s">
        <v>1581</v>
      </c>
      <c r="I302" s="8">
        <v>2157487.02</v>
      </c>
      <c r="J302" s="8">
        <v>512837.03703703702</v>
      </c>
      <c r="K302" s="8">
        <v>0</v>
      </c>
      <c r="L302" s="8">
        <f t="shared" si="9"/>
        <v>512837.03703703702</v>
      </c>
      <c r="M302" s="8">
        <v>1044439.47</v>
      </c>
      <c r="N302" s="8">
        <f t="shared" si="10"/>
        <v>531602.43296296289</v>
      </c>
    </row>
    <row r="303" spans="2:14" ht="60">
      <c r="B303" s="9" t="s">
        <v>335</v>
      </c>
      <c r="C303" s="9" t="s">
        <v>336</v>
      </c>
      <c r="D303" s="9" t="s">
        <v>2749</v>
      </c>
      <c r="E303" s="9" t="s">
        <v>335</v>
      </c>
      <c r="F303" s="7" t="s">
        <v>2308</v>
      </c>
      <c r="G303" s="9" t="s">
        <v>1582</v>
      </c>
      <c r="H303" s="9" t="s">
        <v>1581</v>
      </c>
      <c r="I303" s="8">
        <v>325506.71000000002</v>
      </c>
      <c r="J303" s="6">
        <v>0.01</v>
      </c>
      <c r="K303" s="8">
        <v>0</v>
      </c>
      <c r="L303" s="8">
        <f t="shared" si="9"/>
        <v>0.01</v>
      </c>
      <c r="M303" s="8">
        <v>89644.55</v>
      </c>
      <c r="N303" s="8">
        <f t="shared" si="10"/>
        <v>89644.540000000008</v>
      </c>
    </row>
    <row r="304" spans="2:14" ht="60">
      <c r="B304" s="9" t="s">
        <v>338</v>
      </c>
      <c r="C304" s="9" t="s">
        <v>339</v>
      </c>
      <c r="D304" s="9" t="s">
        <v>1780</v>
      </c>
      <c r="E304" s="9" t="s">
        <v>338</v>
      </c>
      <c r="F304" s="7" t="s">
        <v>2355</v>
      </c>
      <c r="G304" s="9" t="s">
        <v>1582</v>
      </c>
      <c r="H304" s="9" t="s">
        <v>1577</v>
      </c>
      <c r="I304" s="8">
        <v>330193.83</v>
      </c>
      <c r="J304" s="8">
        <v>235837.56915202286</v>
      </c>
      <c r="K304" s="8">
        <v>0</v>
      </c>
      <c r="L304" s="8">
        <f t="shared" si="9"/>
        <v>235837.56915202286</v>
      </c>
      <c r="M304" s="8">
        <v>173417.8</v>
      </c>
      <c r="N304" s="8">
        <f t="shared" si="10"/>
        <v>-62419.769152022869</v>
      </c>
    </row>
    <row r="305" spans="2:14" ht="60">
      <c r="B305" s="9" t="s">
        <v>974</v>
      </c>
      <c r="C305" s="9" t="s">
        <v>975</v>
      </c>
      <c r="D305" s="9" t="s">
        <v>1777</v>
      </c>
      <c r="E305" s="9" t="s">
        <v>974</v>
      </c>
      <c r="F305" s="7" t="s">
        <v>2353</v>
      </c>
      <c r="G305" s="9" t="s">
        <v>1582</v>
      </c>
      <c r="H305" s="9" t="s">
        <v>1577</v>
      </c>
      <c r="I305" s="8">
        <v>32078.05</v>
      </c>
      <c r="J305" s="8">
        <v>23445.276405747361</v>
      </c>
      <c r="K305" s="8">
        <v>0</v>
      </c>
      <c r="L305" s="8">
        <f t="shared" si="9"/>
        <v>23445.276405747361</v>
      </c>
      <c r="M305" s="8">
        <v>64149.69</v>
      </c>
      <c r="N305" s="8">
        <f t="shared" si="10"/>
        <v>40704.413594252641</v>
      </c>
    </row>
    <row r="306" spans="2:14" ht="45">
      <c r="B306" s="9" t="s">
        <v>347</v>
      </c>
      <c r="C306" s="9" t="s">
        <v>348</v>
      </c>
      <c r="D306" s="9" t="s">
        <v>2162</v>
      </c>
      <c r="E306" s="9" t="s">
        <v>347</v>
      </c>
      <c r="F306" s="7" t="s">
        <v>2360</v>
      </c>
      <c r="G306" s="9" t="s">
        <v>1582</v>
      </c>
      <c r="H306" s="9" t="s">
        <v>1577</v>
      </c>
      <c r="I306" s="8">
        <v>6804.29</v>
      </c>
      <c r="J306" s="8">
        <v>6835.4081314587875</v>
      </c>
      <c r="K306" s="8">
        <v>0</v>
      </c>
      <c r="L306" s="8">
        <f t="shared" si="9"/>
        <v>6835.4081314587875</v>
      </c>
      <c r="M306" s="8">
        <v>13057.43</v>
      </c>
      <c r="N306" s="8">
        <f t="shared" si="10"/>
        <v>6222.0218685412128</v>
      </c>
    </row>
    <row r="307" spans="2:14" ht="60">
      <c r="B307" s="9" t="s">
        <v>350</v>
      </c>
      <c r="C307" s="9" t="s">
        <v>351</v>
      </c>
      <c r="D307" s="9" t="s">
        <v>1776</v>
      </c>
      <c r="E307" s="9" t="s">
        <v>350</v>
      </c>
      <c r="F307" s="7" t="s">
        <v>2351</v>
      </c>
      <c r="G307" s="9" t="s">
        <v>1582</v>
      </c>
      <c r="H307" s="9" t="s">
        <v>1577</v>
      </c>
      <c r="I307" s="8">
        <v>6169</v>
      </c>
      <c r="J307" s="8">
        <v>10009.330984332104</v>
      </c>
      <c r="K307" s="8">
        <v>0</v>
      </c>
      <c r="L307" s="8">
        <f t="shared" si="9"/>
        <v>10009.330984332104</v>
      </c>
      <c r="M307" s="8">
        <v>6916.07</v>
      </c>
      <c r="N307" s="8">
        <f t="shared" si="10"/>
        <v>-3093.2609843321043</v>
      </c>
    </row>
    <row r="308" spans="2:14" ht="30">
      <c r="B308" s="9" t="s">
        <v>353</v>
      </c>
      <c r="C308" s="9" t="s">
        <v>354</v>
      </c>
      <c r="D308" s="9" t="s">
        <v>1774</v>
      </c>
      <c r="E308" s="9" t="s">
        <v>353</v>
      </c>
      <c r="F308" s="7" t="s">
        <v>2636</v>
      </c>
      <c r="G308" s="9" t="s">
        <v>1582</v>
      </c>
      <c r="H308" s="9" t="s">
        <v>1581</v>
      </c>
      <c r="I308" s="8">
        <v>1231467.69</v>
      </c>
      <c r="J308" s="8">
        <v>91186.108433734946</v>
      </c>
      <c r="K308" s="8">
        <v>0</v>
      </c>
      <c r="L308" s="8">
        <f t="shared" si="9"/>
        <v>91186.108433734946</v>
      </c>
      <c r="M308" s="8">
        <v>291734.7</v>
      </c>
      <c r="N308" s="8">
        <f t="shared" si="10"/>
        <v>200548.59156626507</v>
      </c>
    </row>
    <row r="309" spans="2:14" ht="60">
      <c r="B309" s="9" t="s">
        <v>980</v>
      </c>
      <c r="C309" s="9" t="s">
        <v>981</v>
      </c>
      <c r="D309" s="9" t="s">
        <v>1773</v>
      </c>
      <c r="E309" s="9" t="s">
        <v>980</v>
      </c>
      <c r="F309" s="7" t="s">
        <v>2634</v>
      </c>
      <c r="G309" s="9" t="s">
        <v>1582</v>
      </c>
      <c r="H309" s="9" t="s">
        <v>1581</v>
      </c>
      <c r="I309" s="8">
        <v>58860795.229999997</v>
      </c>
      <c r="J309" s="8">
        <v>4490216.6807228914</v>
      </c>
      <c r="K309" s="8">
        <v>0</v>
      </c>
      <c r="L309" s="8">
        <f t="shared" si="9"/>
        <v>4490216.6807228914</v>
      </c>
      <c r="M309" s="8">
        <v>11630893.130000001</v>
      </c>
      <c r="N309" s="8">
        <f t="shared" si="10"/>
        <v>7140676.4492771095</v>
      </c>
    </row>
    <row r="310" spans="2:14" ht="60">
      <c r="B310" s="9" t="s">
        <v>1376</v>
      </c>
      <c r="C310" s="9" t="s">
        <v>1377</v>
      </c>
      <c r="D310" s="9" t="s">
        <v>1772</v>
      </c>
      <c r="E310" s="9" t="s">
        <v>1376</v>
      </c>
      <c r="F310" s="7" t="s">
        <v>2356</v>
      </c>
      <c r="G310" s="9" t="s">
        <v>1582</v>
      </c>
      <c r="H310" s="9" t="s">
        <v>1581</v>
      </c>
      <c r="I310" s="8">
        <v>4709041.16</v>
      </c>
      <c r="J310" s="8">
        <v>1380703.0905733937</v>
      </c>
      <c r="K310" s="8">
        <v>0</v>
      </c>
      <c r="L310" s="8">
        <f t="shared" si="9"/>
        <v>1380703.0905733937</v>
      </c>
      <c r="M310" s="8">
        <v>941808.23</v>
      </c>
      <c r="N310" s="8">
        <f t="shared" si="10"/>
        <v>-438894.86057339376</v>
      </c>
    </row>
    <row r="311" spans="2:14" ht="30">
      <c r="B311" s="9" t="s">
        <v>356</v>
      </c>
      <c r="C311" s="9" t="s">
        <v>357</v>
      </c>
      <c r="D311" s="9" t="s">
        <v>2004</v>
      </c>
      <c r="E311" s="9" t="s">
        <v>356</v>
      </c>
      <c r="F311" s="7" t="s">
        <v>2388</v>
      </c>
      <c r="G311" s="9" t="s">
        <v>1582</v>
      </c>
      <c r="H311" s="9" t="s">
        <v>1577</v>
      </c>
      <c r="I311" s="8">
        <v>1371028.29</v>
      </c>
      <c r="J311" s="8">
        <v>415552.52961546992</v>
      </c>
      <c r="K311" s="8">
        <v>0</v>
      </c>
      <c r="L311" s="8">
        <f t="shared" si="9"/>
        <v>415552.52961546992</v>
      </c>
      <c r="M311" s="8">
        <v>310675.01</v>
      </c>
      <c r="N311" s="8">
        <f t="shared" si="10"/>
        <v>-104877.51961546991</v>
      </c>
    </row>
    <row r="312" spans="2:14" ht="30">
      <c r="B312" s="9" t="s">
        <v>359</v>
      </c>
      <c r="C312" s="9" t="s">
        <v>360</v>
      </c>
      <c r="D312" s="9" t="s">
        <v>1764</v>
      </c>
      <c r="E312" s="9" t="s">
        <v>359</v>
      </c>
      <c r="F312" s="7" t="s">
        <v>1763</v>
      </c>
      <c r="G312" s="9" t="s">
        <v>1578</v>
      </c>
      <c r="H312" s="9" t="s">
        <v>1577</v>
      </c>
      <c r="I312" s="8">
        <v>852671.64</v>
      </c>
      <c r="J312" s="8">
        <v>787406.53385434055</v>
      </c>
      <c r="K312" s="8">
        <v>0</v>
      </c>
      <c r="L312" s="8">
        <f t="shared" si="9"/>
        <v>787406.53385434055</v>
      </c>
      <c r="M312" s="8">
        <v>818564.77</v>
      </c>
      <c r="N312" s="8">
        <f t="shared" si="10"/>
        <v>31158.236145659466</v>
      </c>
    </row>
    <row r="313" spans="2:14" ht="45">
      <c r="B313" s="9" t="s">
        <v>989</v>
      </c>
      <c r="C313" s="9" t="s">
        <v>990</v>
      </c>
      <c r="D313" s="9" t="s">
        <v>1762</v>
      </c>
      <c r="E313" s="9" t="s">
        <v>989</v>
      </c>
      <c r="F313" s="7" t="s">
        <v>1761</v>
      </c>
      <c r="G313" s="9" t="s">
        <v>1578</v>
      </c>
      <c r="H313" s="9" t="s">
        <v>1577</v>
      </c>
      <c r="I313" s="8">
        <v>143905.14000000001</v>
      </c>
      <c r="J313" s="8">
        <v>58293.64673327373</v>
      </c>
      <c r="K313" s="8">
        <v>0</v>
      </c>
      <c r="L313" s="8">
        <f t="shared" si="9"/>
        <v>58293.64673327373</v>
      </c>
      <c r="M313" s="8">
        <v>76269.72</v>
      </c>
      <c r="N313" s="8">
        <f t="shared" si="10"/>
        <v>17976.073266726271</v>
      </c>
    </row>
    <row r="314" spans="2:14" ht="30">
      <c r="B314" s="9" t="s">
        <v>362</v>
      </c>
      <c r="C314" s="9" t="s">
        <v>363</v>
      </c>
      <c r="D314" s="9" t="s">
        <v>1760</v>
      </c>
      <c r="E314" s="9" t="s">
        <v>362</v>
      </c>
      <c r="F314" s="7" t="s">
        <v>2703</v>
      </c>
      <c r="G314" s="9" t="s">
        <v>1582</v>
      </c>
      <c r="H314" s="9" t="s">
        <v>1581</v>
      </c>
      <c r="I314" s="8">
        <v>19534545.98</v>
      </c>
      <c r="J314" s="8">
        <v>1315254.944785276</v>
      </c>
      <c r="K314" s="8">
        <v>0</v>
      </c>
      <c r="L314" s="8">
        <f t="shared" si="9"/>
        <v>1315254.944785276</v>
      </c>
      <c r="M314" s="8">
        <v>2414469.89</v>
      </c>
      <c r="N314" s="8">
        <f t="shared" si="10"/>
        <v>1099214.9452147242</v>
      </c>
    </row>
    <row r="315" spans="2:14" ht="60">
      <c r="B315" s="9" t="s">
        <v>365</v>
      </c>
      <c r="C315" s="9" t="s">
        <v>366</v>
      </c>
      <c r="D315" s="9" t="s">
        <v>1757</v>
      </c>
      <c r="E315" s="9" t="s">
        <v>365</v>
      </c>
      <c r="F315" s="7" t="s">
        <v>2646</v>
      </c>
      <c r="G315" s="9" t="s">
        <v>1582</v>
      </c>
      <c r="H315" s="9" t="s">
        <v>1581</v>
      </c>
      <c r="I315" s="8">
        <v>6319163.6900000004</v>
      </c>
      <c r="J315" s="8">
        <v>651678.21686746983</v>
      </c>
      <c r="K315" s="8">
        <v>0</v>
      </c>
      <c r="L315" s="8">
        <f t="shared" si="9"/>
        <v>651678.21686746983</v>
      </c>
      <c r="M315" s="8">
        <v>1248666.74</v>
      </c>
      <c r="N315" s="8">
        <f t="shared" si="10"/>
        <v>596988.52313253016</v>
      </c>
    </row>
    <row r="316" spans="2:14" ht="30">
      <c r="B316" s="9" t="s">
        <v>992</v>
      </c>
      <c r="C316" s="9" t="s">
        <v>993</v>
      </c>
      <c r="D316" s="9" t="s">
        <v>1756</v>
      </c>
      <c r="E316" s="9" t="s">
        <v>992</v>
      </c>
      <c r="F316" s="7" t="s">
        <v>1755</v>
      </c>
      <c r="G316" s="9" t="s">
        <v>1578</v>
      </c>
      <c r="H316" s="9" t="s">
        <v>1581</v>
      </c>
      <c r="I316" s="8">
        <v>1971236.93</v>
      </c>
      <c r="J316" s="8">
        <v>1818107.2937622899</v>
      </c>
      <c r="K316" s="8">
        <v>0</v>
      </c>
      <c r="L316" s="8">
        <f t="shared" si="9"/>
        <v>1818107.2937622899</v>
      </c>
      <c r="M316" s="8">
        <v>1134841.1000000001</v>
      </c>
      <c r="N316" s="8">
        <f t="shared" si="10"/>
        <v>-683266.19376228983</v>
      </c>
    </row>
    <row r="317" spans="2:14" ht="30">
      <c r="B317" s="9" t="s">
        <v>995</v>
      </c>
      <c r="C317" s="9" t="s">
        <v>996</v>
      </c>
      <c r="D317" s="9" t="s">
        <v>1754</v>
      </c>
      <c r="E317" s="9" t="s">
        <v>995</v>
      </c>
      <c r="F317" s="7" t="s">
        <v>1753</v>
      </c>
      <c r="G317" s="9" t="s">
        <v>1582</v>
      </c>
      <c r="H317" s="9" t="s">
        <v>1581</v>
      </c>
      <c r="I317" s="8">
        <v>74259606.659999996</v>
      </c>
      <c r="J317" s="8">
        <v>7612823.9763313606</v>
      </c>
      <c r="K317" s="8">
        <v>0</v>
      </c>
      <c r="L317" s="8">
        <f t="shared" si="9"/>
        <v>7612823.9763313606</v>
      </c>
      <c r="M317" s="8">
        <v>16062352.92</v>
      </c>
      <c r="N317" s="8">
        <f t="shared" si="10"/>
        <v>8449528.9436686393</v>
      </c>
    </row>
    <row r="318" spans="2:14" ht="60">
      <c r="B318" s="9" t="s">
        <v>1569</v>
      </c>
      <c r="C318" s="9" t="s">
        <v>1278</v>
      </c>
      <c r="D318" s="9" t="s">
        <v>1751</v>
      </c>
      <c r="E318" s="9" t="s">
        <v>1569</v>
      </c>
      <c r="F318" s="7" t="s">
        <v>3704</v>
      </c>
      <c r="G318" s="9" t="s">
        <v>1582</v>
      </c>
      <c r="H318" s="9" t="s">
        <v>1581</v>
      </c>
      <c r="I318" s="8">
        <v>93373057.75</v>
      </c>
      <c r="J318" s="8">
        <v>5705557.2095588222</v>
      </c>
      <c r="K318" s="8">
        <v>0</v>
      </c>
      <c r="L318" s="8">
        <f t="shared" si="9"/>
        <v>5705557.2095588222</v>
      </c>
      <c r="M318" s="8">
        <v>15873419.82</v>
      </c>
      <c r="N318" s="8">
        <f t="shared" si="10"/>
        <v>10167862.610441178</v>
      </c>
    </row>
    <row r="319" spans="2:14" ht="45">
      <c r="B319" s="9" t="s">
        <v>2751</v>
      </c>
      <c r="C319" s="9" t="s">
        <v>2752</v>
      </c>
      <c r="D319" s="9" t="s">
        <v>1631</v>
      </c>
      <c r="E319" s="9" t="s">
        <v>2751</v>
      </c>
      <c r="F319" s="7" t="s">
        <v>3705</v>
      </c>
      <c r="G319" s="9" t="s">
        <v>1582</v>
      </c>
      <c r="H319" s="9" t="s">
        <v>1581</v>
      </c>
      <c r="I319" s="8">
        <v>2902492.89</v>
      </c>
      <c r="J319" s="8">
        <v>434219.70625000005</v>
      </c>
      <c r="K319" s="8">
        <v>0</v>
      </c>
      <c r="L319" s="8">
        <f t="shared" si="9"/>
        <v>434219.70625000005</v>
      </c>
      <c r="M319" s="8">
        <v>633904.44999999995</v>
      </c>
      <c r="N319" s="8">
        <f t="shared" si="10"/>
        <v>199684.74374999991</v>
      </c>
    </row>
    <row r="320" spans="2:14" ht="45">
      <c r="B320" s="9" t="s">
        <v>368</v>
      </c>
      <c r="C320" s="9" t="s">
        <v>369</v>
      </c>
      <c r="D320" s="9" t="s">
        <v>1750</v>
      </c>
      <c r="E320" s="9" t="s">
        <v>368</v>
      </c>
      <c r="F320" s="7" t="s">
        <v>2609</v>
      </c>
      <c r="G320" s="9" t="s">
        <v>1582</v>
      </c>
      <c r="H320" s="9" t="s">
        <v>1581</v>
      </c>
      <c r="I320" s="8">
        <v>184003.15</v>
      </c>
      <c r="J320" s="6">
        <v>0.01</v>
      </c>
      <c r="K320" s="8">
        <v>0</v>
      </c>
      <c r="L320" s="8">
        <f t="shared" si="9"/>
        <v>0.01</v>
      </c>
      <c r="M320" s="8">
        <v>35659.81</v>
      </c>
      <c r="N320" s="8">
        <f t="shared" si="10"/>
        <v>35659.799999999996</v>
      </c>
    </row>
    <row r="321" spans="2:14" ht="75">
      <c r="B321" s="9" t="s">
        <v>1493</v>
      </c>
      <c r="C321" s="9" t="s">
        <v>1494</v>
      </c>
      <c r="D321" s="9" t="s">
        <v>2753</v>
      </c>
      <c r="E321" s="9" t="s">
        <v>1493</v>
      </c>
      <c r="F321" s="7" t="s">
        <v>2440</v>
      </c>
      <c r="G321" s="9" t="s">
        <v>1582</v>
      </c>
      <c r="H321" s="9" t="s">
        <v>1581</v>
      </c>
      <c r="I321" s="8">
        <v>100279.65</v>
      </c>
      <c r="J321" s="8">
        <v>25615.627218934915</v>
      </c>
      <c r="K321" s="8">
        <v>0</v>
      </c>
      <c r="L321" s="8">
        <f t="shared" si="9"/>
        <v>25615.627218934915</v>
      </c>
      <c r="M321" s="8">
        <v>23064.32</v>
      </c>
      <c r="N321" s="8">
        <f t="shared" si="10"/>
        <v>-2551.307218934915</v>
      </c>
    </row>
    <row r="322" spans="2:14" ht="60">
      <c r="B322" s="9" t="s">
        <v>1007</v>
      </c>
      <c r="C322" s="9" t="s">
        <v>1008</v>
      </c>
      <c r="D322" s="9" t="s">
        <v>1743</v>
      </c>
      <c r="E322" s="9" t="s">
        <v>1007</v>
      </c>
      <c r="F322" s="7" t="s">
        <v>3706</v>
      </c>
      <c r="G322" s="9" t="s">
        <v>1582</v>
      </c>
      <c r="H322" s="9" t="s">
        <v>1577</v>
      </c>
      <c r="I322" s="8">
        <v>433233.93</v>
      </c>
      <c r="J322" s="8">
        <v>280029.43480956182</v>
      </c>
      <c r="K322" s="8">
        <v>0</v>
      </c>
      <c r="L322" s="8">
        <f t="shared" si="9"/>
        <v>280029.43480956182</v>
      </c>
      <c r="M322" s="8">
        <v>168961.23</v>
      </c>
      <c r="N322" s="8">
        <f t="shared" si="10"/>
        <v>-111068.20480956181</v>
      </c>
    </row>
    <row r="323" spans="2:14" ht="60">
      <c r="B323" s="9" t="s">
        <v>1013</v>
      </c>
      <c r="C323" s="9" t="s">
        <v>1014</v>
      </c>
      <c r="D323" s="9" t="s">
        <v>1747</v>
      </c>
      <c r="E323" s="9" t="s">
        <v>1013</v>
      </c>
      <c r="F323" s="7" t="s">
        <v>2430</v>
      </c>
      <c r="G323" s="9" t="s">
        <v>1582</v>
      </c>
      <c r="H323" s="9" t="s">
        <v>1581</v>
      </c>
      <c r="I323" s="8">
        <v>4425801.76</v>
      </c>
      <c r="J323" s="8">
        <v>1971238.9475253357</v>
      </c>
      <c r="K323" s="8">
        <v>0</v>
      </c>
      <c r="L323" s="8">
        <f t="shared" si="9"/>
        <v>1971238.9475253357</v>
      </c>
      <c r="M323" s="8">
        <v>1504772.6</v>
      </c>
      <c r="N323" s="8">
        <f t="shared" si="10"/>
        <v>-466466.34752533562</v>
      </c>
    </row>
    <row r="324" spans="2:14" ht="60">
      <c r="B324" s="9" t="s">
        <v>374</v>
      </c>
      <c r="C324" s="9" t="s">
        <v>375</v>
      </c>
      <c r="D324" s="9" t="s">
        <v>1746</v>
      </c>
      <c r="E324" s="9" t="s">
        <v>374</v>
      </c>
      <c r="F324" s="7" t="s">
        <v>2206</v>
      </c>
      <c r="G324" s="9" t="s">
        <v>1582</v>
      </c>
      <c r="H324" s="9" t="s">
        <v>1581</v>
      </c>
      <c r="I324" s="8">
        <v>5652682.5300000003</v>
      </c>
      <c r="J324" s="8">
        <v>2474786.7400211487</v>
      </c>
      <c r="K324" s="8">
        <v>0</v>
      </c>
      <c r="L324" s="8">
        <f t="shared" si="9"/>
        <v>2474786.7400211487</v>
      </c>
      <c r="M324" s="8">
        <v>1746678.9</v>
      </c>
      <c r="N324" s="8">
        <f t="shared" si="10"/>
        <v>-728107.84002114879</v>
      </c>
    </row>
    <row r="325" spans="2:14" ht="75">
      <c r="B325" s="9" t="s">
        <v>1001</v>
      </c>
      <c r="C325" s="9" t="s">
        <v>1002</v>
      </c>
      <c r="D325" s="9" t="s">
        <v>1745</v>
      </c>
      <c r="E325" s="9" t="s">
        <v>1001</v>
      </c>
      <c r="F325" s="7" t="s">
        <v>1003</v>
      </c>
      <c r="G325" s="9" t="s">
        <v>1582</v>
      </c>
      <c r="H325" s="9" t="s">
        <v>1581</v>
      </c>
      <c r="I325" s="8">
        <v>26213806.870000001</v>
      </c>
      <c r="J325" s="8">
        <v>3964695.3727810653</v>
      </c>
      <c r="K325" s="8">
        <v>0</v>
      </c>
      <c r="L325" s="8">
        <f t="shared" si="9"/>
        <v>3964695.3727810653</v>
      </c>
      <c r="M325" s="8">
        <v>7020057.4800000004</v>
      </c>
      <c r="N325" s="8">
        <f t="shared" si="10"/>
        <v>3055362.1072189352</v>
      </c>
    </row>
    <row r="326" spans="2:14" ht="75">
      <c r="B326" s="9" t="s">
        <v>1004</v>
      </c>
      <c r="C326" s="9" t="s">
        <v>1005</v>
      </c>
      <c r="D326" s="9" t="s">
        <v>1744</v>
      </c>
      <c r="E326" s="9" t="s">
        <v>1004</v>
      </c>
      <c r="F326" s="7" t="s">
        <v>2227</v>
      </c>
      <c r="G326" s="9" t="s">
        <v>1582</v>
      </c>
      <c r="H326" s="9" t="s">
        <v>1581</v>
      </c>
      <c r="I326" s="8">
        <v>12405916</v>
      </c>
      <c r="J326" s="8">
        <v>1740348.8797468357</v>
      </c>
      <c r="K326" s="8">
        <v>0</v>
      </c>
      <c r="L326" s="8">
        <f t="shared" si="9"/>
        <v>1740348.8797468357</v>
      </c>
      <c r="M326" s="8">
        <v>3194523.37</v>
      </c>
      <c r="N326" s="8">
        <f t="shared" si="10"/>
        <v>1454174.4902531644</v>
      </c>
    </row>
    <row r="327" spans="2:14" ht="60">
      <c r="B327" s="9" t="s">
        <v>1010</v>
      </c>
      <c r="C327" s="9" t="s">
        <v>1011</v>
      </c>
      <c r="D327" s="9" t="s">
        <v>1742</v>
      </c>
      <c r="E327" s="9" t="s">
        <v>1010</v>
      </c>
      <c r="F327" s="7" t="s">
        <v>3707</v>
      </c>
      <c r="G327" s="9" t="s">
        <v>1582</v>
      </c>
      <c r="H327" s="9" t="s">
        <v>1581</v>
      </c>
      <c r="I327" s="8">
        <v>196281546.21000001</v>
      </c>
      <c r="J327" s="8">
        <v>36896774</v>
      </c>
      <c r="K327" s="8">
        <v>0</v>
      </c>
      <c r="L327" s="8">
        <f t="shared" si="9"/>
        <v>36896774</v>
      </c>
      <c r="M327" s="8">
        <v>64066296.689999998</v>
      </c>
      <c r="N327" s="8">
        <f t="shared" si="10"/>
        <v>27169522.689999998</v>
      </c>
    </row>
    <row r="328" spans="2:14" ht="45">
      <c r="B328" s="9" t="s">
        <v>1016</v>
      </c>
      <c r="C328" s="9" t="s">
        <v>1017</v>
      </c>
      <c r="D328" s="9" t="s">
        <v>1741</v>
      </c>
      <c r="E328" s="9" t="s">
        <v>1016</v>
      </c>
      <c r="F328" s="7" t="s">
        <v>2331</v>
      </c>
      <c r="G328" s="9" t="s">
        <v>1578</v>
      </c>
      <c r="H328" s="9" t="s">
        <v>1577</v>
      </c>
      <c r="I328" s="8">
        <v>1742082.56</v>
      </c>
      <c r="J328" s="8">
        <v>1432834.8149915158</v>
      </c>
      <c r="K328" s="8">
        <v>0</v>
      </c>
      <c r="L328" s="8">
        <f t="shared" ref="L328:L391" si="11">J328+K328</f>
        <v>1432834.8149915158</v>
      </c>
      <c r="M328" s="8">
        <v>1358824.4</v>
      </c>
      <c r="N328" s="8">
        <f t="shared" ref="N328:N391" si="12">M328-L328</f>
        <v>-74010.414991515921</v>
      </c>
    </row>
    <row r="329" spans="2:14" ht="60">
      <c r="B329" s="9" t="s">
        <v>380</v>
      </c>
      <c r="C329" s="9" t="s">
        <v>381</v>
      </c>
      <c r="D329" s="9" t="s">
        <v>1740</v>
      </c>
      <c r="E329" s="9" t="s">
        <v>380</v>
      </c>
      <c r="F329" s="7" t="s">
        <v>2667</v>
      </c>
      <c r="G329" s="9" t="s">
        <v>1582</v>
      </c>
      <c r="H329" s="9" t="s">
        <v>1581</v>
      </c>
      <c r="I329" s="8">
        <v>1221524.23</v>
      </c>
      <c r="J329" s="8">
        <v>117108.43373493975</v>
      </c>
      <c r="K329" s="8">
        <v>0</v>
      </c>
      <c r="L329" s="8">
        <f t="shared" si="11"/>
        <v>117108.43373493975</v>
      </c>
      <c r="M329" s="8">
        <v>256520.09</v>
      </c>
      <c r="N329" s="8">
        <f t="shared" si="12"/>
        <v>139411.65626506024</v>
      </c>
    </row>
    <row r="330" spans="2:14" ht="60">
      <c r="B330" s="9" t="s">
        <v>383</v>
      </c>
      <c r="C330" s="9" t="s">
        <v>384</v>
      </c>
      <c r="D330" s="9" t="s">
        <v>1739</v>
      </c>
      <c r="E330" s="9" t="s">
        <v>383</v>
      </c>
      <c r="F330" s="7" t="s">
        <v>2395</v>
      </c>
      <c r="G330" s="9" t="s">
        <v>1582</v>
      </c>
      <c r="H330" s="9" t="s">
        <v>1581</v>
      </c>
      <c r="I330" s="8">
        <v>1660430.89</v>
      </c>
      <c r="J330" s="8">
        <v>7566.0652173913049</v>
      </c>
      <c r="K330" s="8">
        <v>0</v>
      </c>
      <c r="L330" s="8">
        <f t="shared" si="11"/>
        <v>7566.0652173913049</v>
      </c>
      <c r="M330" s="8">
        <v>328101.14</v>
      </c>
      <c r="N330" s="8">
        <f t="shared" si="12"/>
        <v>320535.07478260872</v>
      </c>
    </row>
    <row r="331" spans="2:14" ht="60">
      <c r="B331" s="9" t="s">
        <v>844</v>
      </c>
      <c r="C331" s="9" t="s">
        <v>845</v>
      </c>
      <c r="D331" s="9" t="s">
        <v>1738</v>
      </c>
      <c r="E331" s="9" t="s">
        <v>844</v>
      </c>
      <c r="F331" s="7" t="s">
        <v>3708</v>
      </c>
      <c r="G331" s="9" t="s">
        <v>1578</v>
      </c>
      <c r="H331" s="9" t="s">
        <v>1577</v>
      </c>
      <c r="I331" s="8">
        <v>1521267.73</v>
      </c>
      <c r="J331" s="8">
        <v>1144322.9963347064</v>
      </c>
      <c r="K331" s="8">
        <v>0</v>
      </c>
      <c r="L331" s="8">
        <f t="shared" si="11"/>
        <v>1144322.9963347064</v>
      </c>
      <c r="M331" s="8">
        <v>1367467.56</v>
      </c>
      <c r="N331" s="8">
        <f t="shared" si="12"/>
        <v>223144.56366529362</v>
      </c>
    </row>
    <row r="332" spans="2:14" ht="45">
      <c r="B332" s="9" t="s">
        <v>1019</v>
      </c>
      <c r="C332" s="9" t="s">
        <v>1020</v>
      </c>
      <c r="D332" s="9" t="s">
        <v>1736</v>
      </c>
      <c r="E332" s="9" t="s">
        <v>1019</v>
      </c>
      <c r="F332" s="7" t="s">
        <v>2207</v>
      </c>
      <c r="G332" s="9" t="s">
        <v>1582</v>
      </c>
      <c r="H332" s="9" t="s">
        <v>1577</v>
      </c>
      <c r="I332" s="8">
        <v>2028243.14</v>
      </c>
      <c r="J332" s="8">
        <v>317711.31415437942</v>
      </c>
      <c r="K332" s="8">
        <v>0</v>
      </c>
      <c r="L332" s="8">
        <f t="shared" si="11"/>
        <v>317711.31415437942</v>
      </c>
      <c r="M332" s="8">
        <v>355145.37</v>
      </c>
      <c r="N332" s="8">
        <f t="shared" si="12"/>
        <v>37434.055845620576</v>
      </c>
    </row>
    <row r="333" spans="2:14" ht="45">
      <c r="B333" s="9" t="s">
        <v>386</v>
      </c>
      <c r="C333" s="9" t="s">
        <v>387</v>
      </c>
      <c r="D333" s="9" t="s">
        <v>1732</v>
      </c>
      <c r="E333" s="9" t="s">
        <v>386</v>
      </c>
      <c r="F333" s="7" t="s">
        <v>2233</v>
      </c>
      <c r="G333" s="9" t="s">
        <v>1582</v>
      </c>
      <c r="H333" s="9" t="s">
        <v>1581</v>
      </c>
      <c r="I333" s="8">
        <v>34504142.520000003</v>
      </c>
      <c r="J333" s="8">
        <v>2839154.265822785</v>
      </c>
      <c r="K333" s="8">
        <v>0</v>
      </c>
      <c r="L333" s="8">
        <f t="shared" si="11"/>
        <v>2839154.265822785</v>
      </c>
      <c r="M333" s="8">
        <v>5330890.0199999996</v>
      </c>
      <c r="N333" s="8">
        <f t="shared" si="12"/>
        <v>2491735.7541772146</v>
      </c>
    </row>
    <row r="334" spans="2:14" ht="60">
      <c r="B334" s="9" t="s">
        <v>1022</v>
      </c>
      <c r="C334" s="9" t="s">
        <v>1023</v>
      </c>
      <c r="D334" s="9" t="s">
        <v>1734</v>
      </c>
      <c r="E334" s="9" t="s">
        <v>1022</v>
      </c>
      <c r="F334" s="7" t="s">
        <v>1024</v>
      </c>
      <c r="G334" s="9" t="s">
        <v>1582</v>
      </c>
      <c r="H334" s="9" t="s">
        <v>1581</v>
      </c>
      <c r="I334" s="8">
        <v>104427530.22</v>
      </c>
      <c r="J334" s="8">
        <v>9457306.3318181783</v>
      </c>
      <c r="K334" s="8">
        <v>0</v>
      </c>
      <c r="L334" s="8">
        <f t="shared" si="11"/>
        <v>9457306.3318181783</v>
      </c>
      <c r="M334" s="8">
        <v>27965692.600000001</v>
      </c>
      <c r="N334" s="8">
        <f t="shared" si="12"/>
        <v>18508386.268181823</v>
      </c>
    </row>
    <row r="335" spans="2:14" ht="45">
      <c r="B335" s="9" t="s">
        <v>1025</v>
      </c>
      <c r="C335" s="9" t="s">
        <v>1026</v>
      </c>
      <c r="D335" s="9" t="s">
        <v>1737</v>
      </c>
      <c r="E335" s="9" t="s">
        <v>1025</v>
      </c>
      <c r="F335" s="7" t="s">
        <v>2209</v>
      </c>
      <c r="G335" s="9" t="s">
        <v>1582</v>
      </c>
      <c r="H335" s="9" t="s">
        <v>1577</v>
      </c>
      <c r="I335" s="8">
        <v>1774921.51</v>
      </c>
      <c r="J335" s="8">
        <v>279990.34651634342</v>
      </c>
      <c r="K335" s="8">
        <v>0</v>
      </c>
      <c r="L335" s="8">
        <f t="shared" si="11"/>
        <v>279990.34651634342</v>
      </c>
      <c r="M335" s="8">
        <v>329070.45</v>
      </c>
      <c r="N335" s="8">
        <f t="shared" si="12"/>
        <v>49080.103483656596</v>
      </c>
    </row>
    <row r="336" spans="2:14" ht="45">
      <c r="B336" s="9" t="s">
        <v>1028</v>
      </c>
      <c r="C336" s="9" t="s">
        <v>1029</v>
      </c>
      <c r="D336" s="9" t="s">
        <v>1735</v>
      </c>
      <c r="E336" s="9" t="s">
        <v>1028</v>
      </c>
      <c r="F336" s="7" t="s">
        <v>2231</v>
      </c>
      <c r="G336" s="9" t="s">
        <v>1582</v>
      </c>
      <c r="H336" s="9" t="s">
        <v>1581</v>
      </c>
      <c r="I336" s="8">
        <v>198094439.38</v>
      </c>
      <c r="J336" s="8">
        <v>20434750.069620252</v>
      </c>
      <c r="K336" s="8">
        <v>0</v>
      </c>
      <c r="L336" s="8">
        <f t="shared" si="11"/>
        <v>20434750.069620252</v>
      </c>
      <c r="M336" s="8">
        <v>28565218.16</v>
      </c>
      <c r="N336" s="8">
        <f t="shared" si="12"/>
        <v>8130468.0903797485</v>
      </c>
    </row>
    <row r="337" spans="2:14" ht="45">
      <c r="B337" s="9" t="s">
        <v>1034</v>
      </c>
      <c r="C337" s="9" t="s">
        <v>1035</v>
      </c>
      <c r="D337" s="9" t="s">
        <v>1731</v>
      </c>
      <c r="E337" s="9" t="s">
        <v>1034</v>
      </c>
      <c r="F337" s="7" t="s">
        <v>2221</v>
      </c>
      <c r="G337" s="9" t="s">
        <v>1582</v>
      </c>
      <c r="H337" s="9" t="s">
        <v>1581</v>
      </c>
      <c r="I337" s="8">
        <v>39001786.329999998</v>
      </c>
      <c r="J337" s="8">
        <v>2530324.3227848103</v>
      </c>
      <c r="K337" s="8">
        <v>0</v>
      </c>
      <c r="L337" s="8">
        <f t="shared" si="11"/>
        <v>2530324.3227848103</v>
      </c>
      <c r="M337" s="8">
        <v>4418902.4000000004</v>
      </c>
      <c r="N337" s="8">
        <f t="shared" si="12"/>
        <v>1888578.07721519</v>
      </c>
    </row>
    <row r="338" spans="2:14" ht="45">
      <c r="B338" s="9" t="s">
        <v>392</v>
      </c>
      <c r="C338" s="9" t="s">
        <v>393</v>
      </c>
      <c r="D338" s="9" t="s">
        <v>1726</v>
      </c>
      <c r="E338" s="9" t="s">
        <v>392</v>
      </c>
      <c r="F338" s="7" t="s">
        <v>3709</v>
      </c>
      <c r="G338" s="9" t="s">
        <v>1582</v>
      </c>
      <c r="H338" s="9" t="s">
        <v>1581</v>
      </c>
      <c r="I338" s="8">
        <v>298064382.19999999</v>
      </c>
      <c r="J338" s="8">
        <v>54464620.194690272</v>
      </c>
      <c r="K338" s="8">
        <v>0</v>
      </c>
      <c r="L338" s="8">
        <f t="shared" si="11"/>
        <v>54464620.194690272</v>
      </c>
      <c r="M338" s="8">
        <v>36840757.640000001</v>
      </c>
      <c r="N338" s="8">
        <f t="shared" si="12"/>
        <v>-17623862.554690272</v>
      </c>
    </row>
    <row r="339" spans="2:14">
      <c r="B339" s="9" t="s">
        <v>1567</v>
      </c>
      <c r="C339" s="9" t="s">
        <v>1723</v>
      </c>
      <c r="D339" s="9" t="s">
        <v>1722</v>
      </c>
      <c r="E339" s="9" t="s">
        <v>1567</v>
      </c>
      <c r="F339" s="7" t="s">
        <v>1721</v>
      </c>
      <c r="G339" s="9" t="s">
        <v>1582</v>
      </c>
      <c r="H339" s="9" t="s">
        <v>1581</v>
      </c>
      <c r="I339" s="8">
        <v>62043402.049999997</v>
      </c>
      <c r="J339" s="8">
        <v>6585816.0628571426</v>
      </c>
      <c r="K339" s="8">
        <v>0</v>
      </c>
      <c r="L339" s="8">
        <f t="shared" si="11"/>
        <v>6585816.0628571426</v>
      </c>
      <c r="M339" s="8">
        <v>11906128.85</v>
      </c>
      <c r="N339" s="8">
        <f t="shared" si="12"/>
        <v>5320312.787142857</v>
      </c>
    </row>
    <row r="340" spans="2:14" ht="60">
      <c r="B340" s="9" t="s">
        <v>1573</v>
      </c>
      <c r="C340" s="9" t="s">
        <v>1720</v>
      </c>
      <c r="D340" s="9" t="s">
        <v>1719</v>
      </c>
      <c r="E340" s="9" t="s">
        <v>1573</v>
      </c>
      <c r="F340" s="7" t="s">
        <v>2412</v>
      </c>
      <c r="G340" s="9" t="s">
        <v>1582</v>
      </c>
      <c r="H340" s="9" t="s">
        <v>1581</v>
      </c>
      <c r="I340" s="8">
        <v>12632366.32</v>
      </c>
      <c r="J340" s="8">
        <v>1366688.2228260871</v>
      </c>
      <c r="K340" s="8">
        <v>0</v>
      </c>
      <c r="L340" s="8">
        <f t="shared" si="11"/>
        <v>1366688.2228260871</v>
      </c>
      <c r="M340" s="8">
        <v>2526473.2599999998</v>
      </c>
      <c r="N340" s="8">
        <f t="shared" si="12"/>
        <v>1159785.0371739126</v>
      </c>
    </row>
    <row r="341" spans="2:14" ht="30">
      <c r="B341" s="9" t="s">
        <v>398</v>
      </c>
      <c r="C341" s="9" t="s">
        <v>399</v>
      </c>
      <c r="D341" s="9" t="s">
        <v>1718</v>
      </c>
      <c r="E341" s="9" t="s">
        <v>398</v>
      </c>
      <c r="F341" s="7" t="s">
        <v>3710</v>
      </c>
      <c r="G341" s="9" t="s">
        <v>1582</v>
      </c>
      <c r="H341" s="9" t="s">
        <v>1581</v>
      </c>
      <c r="I341" s="8">
        <v>1160487.08</v>
      </c>
      <c r="J341" s="8">
        <v>417974.26126126118</v>
      </c>
      <c r="K341" s="8">
        <v>0</v>
      </c>
      <c r="L341" s="8">
        <f t="shared" si="11"/>
        <v>417974.26126126118</v>
      </c>
      <c r="M341" s="8">
        <v>410348.23</v>
      </c>
      <c r="N341" s="8">
        <f t="shared" si="12"/>
        <v>-7626.0312612612033</v>
      </c>
    </row>
    <row r="342" spans="2:14" ht="45">
      <c r="B342" s="9" t="s">
        <v>1044</v>
      </c>
      <c r="C342" s="9" t="s">
        <v>1045</v>
      </c>
      <c r="D342" s="9" t="s">
        <v>1717</v>
      </c>
      <c r="E342" s="9" t="s">
        <v>1044</v>
      </c>
      <c r="F342" s="7" t="s">
        <v>2349</v>
      </c>
      <c r="G342" s="9" t="s">
        <v>1582</v>
      </c>
      <c r="H342" s="9" t="s">
        <v>1581</v>
      </c>
      <c r="I342" s="8">
        <v>12278764.199999999</v>
      </c>
      <c r="J342" s="8">
        <v>3734124.3676741309</v>
      </c>
      <c r="K342" s="8">
        <v>0</v>
      </c>
      <c r="L342" s="8">
        <f t="shared" si="11"/>
        <v>3734124.3676741309</v>
      </c>
      <c r="M342" s="8">
        <v>3288253.05</v>
      </c>
      <c r="N342" s="8">
        <f t="shared" si="12"/>
        <v>-445871.31767413113</v>
      </c>
    </row>
    <row r="343" spans="2:14" ht="60">
      <c r="B343" s="9" t="s">
        <v>1565</v>
      </c>
      <c r="C343" s="9" t="s">
        <v>1716</v>
      </c>
      <c r="D343" s="9" t="s">
        <v>1715</v>
      </c>
      <c r="E343" s="9" t="s">
        <v>1565</v>
      </c>
      <c r="F343" s="7" t="s">
        <v>2603</v>
      </c>
      <c r="G343" s="9" t="s">
        <v>1582</v>
      </c>
      <c r="H343" s="9" t="s">
        <v>1581</v>
      </c>
      <c r="I343" s="8">
        <v>49663044.390000001</v>
      </c>
      <c r="J343" s="8">
        <v>1841743.169811321</v>
      </c>
      <c r="K343" s="8">
        <v>0</v>
      </c>
      <c r="L343" s="8">
        <f t="shared" si="11"/>
        <v>1841743.169811321</v>
      </c>
      <c r="M343" s="8">
        <v>4603764.22</v>
      </c>
      <c r="N343" s="8">
        <f t="shared" si="12"/>
        <v>2762021.0501886788</v>
      </c>
    </row>
    <row r="344" spans="2:14" ht="30">
      <c r="B344" s="9" t="s">
        <v>1712</v>
      </c>
      <c r="C344" s="9" t="s">
        <v>1714</v>
      </c>
      <c r="D344" s="9" t="s">
        <v>1713</v>
      </c>
      <c r="E344" s="9" t="s">
        <v>1712</v>
      </c>
      <c r="F344" s="7" t="s">
        <v>3711</v>
      </c>
      <c r="G344" s="9" t="s">
        <v>1582</v>
      </c>
      <c r="H344" s="9" t="s">
        <v>1581</v>
      </c>
      <c r="I344" s="8">
        <v>141917174.69999999</v>
      </c>
      <c r="J344" s="8">
        <v>14159248.113970589</v>
      </c>
      <c r="K344" s="8">
        <v>0</v>
      </c>
      <c r="L344" s="8">
        <f t="shared" si="11"/>
        <v>14159248.113970589</v>
      </c>
      <c r="M344" s="8">
        <v>44434267.399999999</v>
      </c>
      <c r="N344" s="8">
        <f t="shared" si="12"/>
        <v>30275019.28602941</v>
      </c>
    </row>
    <row r="345" spans="2:14" ht="60">
      <c r="B345" s="9" t="s">
        <v>401</v>
      </c>
      <c r="C345" s="9" t="s">
        <v>402</v>
      </c>
      <c r="D345" s="9" t="s">
        <v>1711</v>
      </c>
      <c r="E345" s="9" t="s">
        <v>401</v>
      </c>
      <c r="F345" s="7" t="s">
        <v>2486</v>
      </c>
      <c r="G345" s="9" t="s">
        <v>1582</v>
      </c>
      <c r="H345" s="9" t="s">
        <v>1581</v>
      </c>
      <c r="I345" s="8">
        <v>1216314.52</v>
      </c>
      <c r="J345" s="8">
        <v>66272.189349112421</v>
      </c>
      <c r="K345" s="8">
        <v>0</v>
      </c>
      <c r="L345" s="8">
        <f t="shared" si="11"/>
        <v>66272.189349112421</v>
      </c>
      <c r="M345" s="8">
        <v>198502.53</v>
      </c>
      <c r="N345" s="8">
        <f t="shared" si="12"/>
        <v>132230.34065088758</v>
      </c>
    </row>
    <row r="346" spans="2:14" ht="45">
      <c r="B346" s="9" t="s">
        <v>1050</v>
      </c>
      <c r="C346" s="9" t="s">
        <v>1051</v>
      </c>
      <c r="D346" s="9" t="s">
        <v>1710</v>
      </c>
      <c r="E346" s="9" t="s">
        <v>1050</v>
      </c>
      <c r="F346" s="7" t="s">
        <v>2418</v>
      </c>
      <c r="G346" s="9" t="s">
        <v>1578</v>
      </c>
      <c r="H346" s="9" t="s">
        <v>1581</v>
      </c>
      <c r="I346" s="8">
        <v>187036.41</v>
      </c>
      <c r="J346" s="8">
        <v>89464.625319660001</v>
      </c>
      <c r="K346" s="8">
        <v>0</v>
      </c>
      <c r="L346" s="8">
        <f t="shared" si="11"/>
        <v>89464.625319660001</v>
      </c>
      <c r="M346" s="8">
        <v>58561.1</v>
      </c>
      <c r="N346" s="8">
        <f t="shared" si="12"/>
        <v>-30903.525319660002</v>
      </c>
    </row>
    <row r="347" spans="2:14" ht="75">
      <c r="B347" s="9" t="s">
        <v>3075</v>
      </c>
      <c r="C347" s="9" t="s">
        <v>3076</v>
      </c>
      <c r="D347" s="9" t="s">
        <v>3132</v>
      </c>
      <c r="E347" s="9" t="s">
        <v>3075</v>
      </c>
      <c r="F347" s="7" t="s">
        <v>3278</v>
      </c>
      <c r="G347" s="9" t="s">
        <v>1582</v>
      </c>
      <c r="H347" s="9" t="s">
        <v>1581</v>
      </c>
      <c r="I347" s="8">
        <v>767002.61</v>
      </c>
      <c r="J347" s="8">
        <v>197400</v>
      </c>
      <c r="K347" s="8">
        <v>0</v>
      </c>
      <c r="L347" s="8">
        <f t="shared" si="11"/>
        <v>197400</v>
      </c>
      <c r="M347" s="8">
        <v>524169.59</v>
      </c>
      <c r="N347" s="8">
        <f t="shared" si="12"/>
        <v>326769.59000000003</v>
      </c>
    </row>
    <row r="348" spans="2:14" ht="30">
      <c r="B348" s="9" t="s">
        <v>1556</v>
      </c>
      <c r="C348" s="9" t="s">
        <v>1709</v>
      </c>
      <c r="D348" s="9" t="s">
        <v>1708</v>
      </c>
      <c r="E348" s="9" t="s">
        <v>1556</v>
      </c>
      <c r="F348" s="7" t="s">
        <v>1707</v>
      </c>
      <c r="G348" s="9" t="s">
        <v>1582</v>
      </c>
      <c r="H348" s="9" t="s">
        <v>1581</v>
      </c>
      <c r="I348" s="8">
        <v>377754912.96999997</v>
      </c>
      <c r="J348" s="8">
        <v>18615318.85207101</v>
      </c>
      <c r="K348" s="8">
        <v>0</v>
      </c>
      <c r="L348" s="8">
        <f t="shared" si="11"/>
        <v>18615318.85207101</v>
      </c>
      <c r="M348" s="8">
        <v>41553040.43</v>
      </c>
      <c r="N348" s="8">
        <f t="shared" si="12"/>
        <v>22937721.57792899</v>
      </c>
    </row>
    <row r="349" spans="2:14" ht="45">
      <c r="B349" s="9" t="s">
        <v>1511</v>
      </c>
      <c r="C349" s="9" t="s">
        <v>1512</v>
      </c>
      <c r="D349" s="9" t="s">
        <v>1706</v>
      </c>
      <c r="E349" s="9" t="s">
        <v>1511</v>
      </c>
      <c r="F349" s="7" t="s">
        <v>2492</v>
      </c>
      <c r="G349" s="9" t="s">
        <v>1582</v>
      </c>
      <c r="H349" s="9" t="s">
        <v>1581</v>
      </c>
      <c r="I349" s="8">
        <v>377091.45</v>
      </c>
      <c r="J349" s="8">
        <v>150450</v>
      </c>
      <c r="K349" s="8">
        <v>0</v>
      </c>
      <c r="L349" s="8">
        <f t="shared" si="11"/>
        <v>150450</v>
      </c>
      <c r="M349" s="8">
        <v>271505.84000000003</v>
      </c>
      <c r="N349" s="8">
        <f t="shared" si="12"/>
        <v>121055.84000000003</v>
      </c>
    </row>
    <row r="350" spans="2:14" ht="75">
      <c r="B350" s="9" t="s">
        <v>404</v>
      </c>
      <c r="C350" s="9" t="s">
        <v>405</v>
      </c>
      <c r="D350" s="9" t="s">
        <v>1705</v>
      </c>
      <c r="E350" s="9" t="s">
        <v>404</v>
      </c>
      <c r="F350" s="7" t="s">
        <v>2264</v>
      </c>
      <c r="G350" s="9" t="s">
        <v>1582</v>
      </c>
      <c r="H350" s="9" t="s">
        <v>1581</v>
      </c>
      <c r="I350" s="8">
        <v>153248.15</v>
      </c>
      <c r="J350" s="8">
        <v>13493.3375</v>
      </c>
      <c r="K350" s="8">
        <v>0</v>
      </c>
      <c r="L350" s="8">
        <f t="shared" si="11"/>
        <v>13493.3375</v>
      </c>
      <c r="M350" s="8">
        <v>31875.62</v>
      </c>
      <c r="N350" s="8">
        <f t="shared" si="12"/>
        <v>18382.282500000001</v>
      </c>
    </row>
    <row r="351" spans="2:14" ht="45">
      <c r="B351" s="9" t="s">
        <v>1225</v>
      </c>
      <c r="C351" s="9" t="s">
        <v>1226</v>
      </c>
      <c r="D351" s="9" t="s">
        <v>1704</v>
      </c>
      <c r="E351" s="9" t="s">
        <v>1225</v>
      </c>
      <c r="F351" s="7" t="s">
        <v>3712</v>
      </c>
      <c r="G351" s="9" t="s">
        <v>1582</v>
      </c>
      <c r="H351" s="9" t="s">
        <v>1581</v>
      </c>
      <c r="I351" s="8">
        <v>91817058.719999999</v>
      </c>
      <c r="J351" s="8">
        <v>8098324.1104294499</v>
      </c>
      <c r="K351" s="8">
        <v>0</v>
      </c>
      <c r="L351" s="8">
        <f t="shared" si="11"/>
        <v>8098324.1104294499</v>
      </c>
      <c r="M351" s="8">
        <v>21329102.75</v>
      </c>
      <c r="N351" s="8">
        <f t="shared" si="12"/>
        <v>13230778.639570549</v>
      </c>
    </row>
    <row r="352" spans="2:14" ht="45">
      <c r="B352" s="9" t="s">
        <v>407</v>
      </c>
      <c r="C352" s="9" t="s">
        <v>408</v>
      </c>
      <c r="D352" s="9" t="s">
        <v>2754</v>
      </c>
      <c r="E352" s="9" t="s">
        <v>407</v>
      </c>
      <c r="F352" s="7" t="s">
        <v>3713</v>
      </c>
      <c r="G352" s="9" t="s">
        <v>1582</v>
      </c>
      <c r="H352" s="9" t="s">
        <v>1581</v>
      </c>
      <c r="I352" s="8">
        <v>1943376.26</v>
      </c>
      <c r="J352" s="8">
        <v>22417.559782608696</v>
      </c>
      <c r="K352" s="8">
        <v>0</v>
      </c>
      <c r="L352" s="8">
        <f t="shared" si="11"/>
        <v>22417.559782608696</v>
      </c>
      <c r="M352" s="8">
        <v>180150.98</v>
      </c>
      <c r="N352" s="8">
        <f t="shared" si="12"/>
        <v>157733.42021739131</v>
      </c>
    </row>
    <row r="353" spans="2:14" ht="45">
      <c r="B353" s="9" t="s">
        <v>1056</v>
      </c>
      <c r="C353" s="9" t="s">
        <v>1057</v>
      </c>
      <c r="D353" s="9" t="s">
        <v>1703</v>
      </c>
      <c r="E353" s="9" t="s">
        <v>1056</v>
      </c>
      <c r="F353" s="7" t="s">
        <v>2215</v>
      </c>
      <c r="G353" s="9" t="s">
        <v>1582</v>
      </c>
      <c r="H353" s="9" t="s">
        <v>1581</v>
      </c>
      <c r="I353" s="8">
        <v>232041887.18000001</v>
      </c>
      <c r="J353" s="8">
        <v>21986768.848101266</v>
      </c>
      <c r="K353" s="8">
        <v>0</v>
      </c>
      <c r="L353" s="8">
        <f t="shared" si="11"/>
        <v>21986768.848101266</v>
      </c>
      <c r="M353" s="8">
        <v>27845026.460000001</v>
      </c>
      <c r="N353" s="8">
        <f t="shared" si="12"/>
        <v>5858257.6118987352</v>
      </c>
    </row>
    <row r="354" spans="2:14" ht="60">
      <c r="B354" s="9" t="s">
        <v>1059</v>
      </c>
      <c r="C354" s="9" t="s">
        <v>1060</v>
      </c>
      <c r="D354" s="9" t="s">
        <v>1702</v>
      </c>
      <c r="E354" s="9" t="s">
        <v>1059</v>
      </c>
      <c r="F354" s="7" t="s">
        <v>2217</v>
      </c>
      <c r="G354" s="9" t="s">
        <v>1582</v>
      </c>
      <c r="H354" s="9" t="s">
        <v>1581</v>
      </c>
      <c r="I354" s="8">
        <v>36232457.090000004</v>
      </c>
      <c r="J354" s="8">
        <v>3279798.7025316455</v>
      </c>
      <c r="K354" s="8">
        <v>0</v>
      </c>
      <c r="L354" s="8">
        <f t="shared" si="11"/>
        <v>3279798.7025316455</v>
      </c>
      <c r="M354" s="8">
        <v>4521810.6399999997</v>
      </c>
      <c r="N354" s="8">
        <f t="shared" si="12"/>
        <v>1242011.9374683541</v>
      </c>
    </row>
    <row r="355" spans="2:14" ht="45">
      <c r="B355" s="9" t="s">
        <v>1062</v>
      </c>
      <c r="C355" s="9" t="s">
        <v>1063</v>
      </c>
      <c r="D355" s="9" t="s">
        <v>1701</v>
      </c>
      <c r="E355" s="9" t="s">
        <v>1062</v>
      </c>
      <c r="F355" s="7" t="s">
        <v>2216</v>
      </c>
      <c r="G355" s="9" t="s">
        <v>1582</v>
      </c>
      <c r="H355" s="9" t="s">
        <v>1581</v>
      </c>
      <c r="I355" s="8">
        <v>126155612.79000001</v>
      </c>
      <c r="J355" s="8">
        <v>9649724.3227848113</v>
      </c>
      <c r="K355" s="8">
        <v>0</v>
      </c>
      <c r="L355" s="8">
        <f t="shared" si="11"/>
        <v>9649724.3227848113</v>
      </c>
      <c r="M355" s="8">
        <v>14432202.109999999</v>
      </c>
      <c r="N355" s="8">
        <f t="shared" si="12"/>
        <v>4782477.7872151881</v>
      </c>
    </row>
    <row r="356" spans="2:14" ht="60">
      <c r="B356" s="9" t="s">
        <v>1065</v>
      </c>
      <c r="C356" s="9" t="s">
        <v>1066</v>
      </c>
      <c r="D356" s="9" t="s">
        <v>1700</v>
      </c>
      <c r="E356" s="9" t="s">
        <v>1065</v>
      </c>
      <c r="F356" s="7" t="s">
        <v>2218</v>
      </c>
      <c r="G356" s="9" t="s">
        <v>1582</v>
      </c>
      <c r="H356" s="9" t="s">
        <v>1581</v>
      </c>
      <c r="I356" s="8">
        <v>193332814.34999999</v>
      </c>
      <c r="J356" s="8">
        <v>18056937.87341772</v>
      </c>
      <c r="K356" s="8">
        <v>0</v>
      </c>
      <c r="L356" s="8">
        <f t="shared" si="11"/>
        <v>18056937.87341772</v>
      </c>
      <c r="M356" s="8">
        <v>29869919.809999999</v>
      </c>
      <c r="N356" s="8">
        <f t="shared" si="12"/>
        <v>11812981.936582278</v>
      </c>
    </row>
    <row r="357" spans="2:14" ht="60">
      <c r="B357" s="9" t="s">
        <v>1514</v>
      </c>
      <c r="C357" s="9" t="s">
        <v>1515</v>
      </c>
      <c r="D357" s="9" t="s">
        <v>1698</v>
      </c>
      <c r="E357" s="9" t="s">
        <v>1514</v>
      </c>
      <c r="F357" s="7" t="s">
        <v>2432</v>
      </c>
      <c r="G357" s="9" t="s">
        <v>1582</v>
      </c>
      <c r="H357" s="9" t="s">
        <v>1581</v>
      </c>
      <c r="I357" s="8">
        <v>737734.56</v>
      </c>
      <c r="J357" s="8">
        <v>256700</v>
      </c>
      <c r="K357" s="8">
        <v>0</v>
      </c>
      <c r="L357" s="8">
        <f t="shared" si="11"/>
        <v>256700</v>
      </c>
      <c r="M357" s="8">
        <v>484322.73</v>
      </c>
      <c r="N357" s="8">
        <f t="shared" si="12"/>
        <v>227622.72999999998</v>
      </c>
    </row>
    <row r="358" spans="2:14" ht="60">
      <c r="B358" s="9" t="s">
        <v>2755</v>
      </c>
      <c r="C358" s="9" t="s">
        <v>2439</v>
      </c>
      <c r="D358" s="9" t="s">
        <v>2062</v>
      </c>
      <c r="E358" s="9" t="s">
        <v>2755</v>
      </c>
      <c r="F358" s="7" t="s">
        <v>3714</v>
      </c>
      <c r="G358" s="9" t="s">
        <v>1582</v>
      </c>
      <c r="H358" s="9" t="s">
        <v>1581</v>
      </c>
      <c r="I358" s="8">
        <v>8511595.0199999996</v>
      </c>
      <c r="J358" s="8">
        <v>827331.66272189352</v>
      </c>
      <c r="K358" s="8">
        <v>0</v>
      </c>
      <c r="L358" s="8">
        <f t="shared" si="11"/>
        <v>827331.66272189352</v>
      </c>
      <c r="M358" s="8">
        <v>1770411.76</v>
      </c>
      <c r="N358" s="8">
        <f t="shared" si="12"/>
        <v>943080.09727810649</v>
      </c>
    </row>
    <row r="359" spans="2:14" ht="75">
      <c r="B359" s="9" t="s">
        <v>410</v>
      </c>
      <c r="C359" s="9" t="s">
        <v>411</v>
      </c>
      <c r="D359" s="9" t="s">
        <v>1688</v>
      </c>
      <c r="E359" s="9" t="s">
        <v>410</v>
      </c>
      <c r="F359" s="7" t="s">
        <v>3715</v>
      </c>
      <c r="G359" s="9" t="s">
        <v>1582</v>
      </c>
      <c r="H359" s="9" t="s">
        <v>1581</v>
      </c>
      <c r="I359" s="8">
        <v>26929702.16</v>
      </c>
      <c r="J359" s="8">
        <v>2569771.6176470583</v>
      </c>
      <c r="K359" s="8">
        <v>0</v>
      </c>
      <c r="L359" s="8">
        <f t="shared" si="11"/>
        <v>2569771.6176470583</v>
      </c>
      <c r="M359" s="8">
        <v>6657022.3799999999</v>
      </c>
      <c r="N359" s="8">
        <f t="shared" si="12"/>
        <v>4087250.7623529416</v>
      </c>
    </row>
    <row r="360" spans="2:14" ht="60">
      <c r="B360" s="9" t="s">
        <v>1316</v>
      </c>
      <c r="C360" s="9" t="s">
        <v>1317</v>
      </c>
      <c r="D360" s="9" t="s">
        <v>1697</v>
      </c>
      <c r="E360" s="9" t="s">
        <v>1316</v>
      </c>
      <c r="F360" s="7" t="s">
        <v>2508</v>
      </c>
      <c r="G360" s="9" t="s">
        <v>1582</v>
      </c>
      <c r="H360" s="9" t="s">
        <v>1581</v>
      </c>
      <c r="I360" s="8">
        <v>39296479.549999997</v>
      </c>
      <c r="J360" s="8">
        <v>3636085.9448529407</v>
      </c>
      <c r="K360" s="8">
        <v>0</v>
      </c>
      <c r="L360" s="8">
        <f t="shared" si="11"/>
        <v>3636085.9448529407</v>
      </c>
      <c r="M360" s="8">
        <v>8904582.2699999996</v>
      </c>
      <c r="N360" s="8">
        <f t="shared" si="12"/>
        <v>5268496.3251470588</v>
      </c>
    </row>
    <row r="361" spans="2:14" ht="30">
      <c r="B361" s="9" t="s">
        <v>1694</v>
      </c>
      <c r="C361" s="9" t="s">
        <v>1696</v>
      </c>
      <c r="D361" s="9" t="s">
        <v>1695</v>
      </c>
      <c r="E361" s="9" t="s">
        <v>1694</v>
      </c>
      <c r="F361" s="7" t="s">
        <v>3716</v>
      </c>
      <c r="G361" s="9" t="s">
        <v>1582</v>
      </c>
      <c r="H361" s="9" t="s">
        <v>1581</v>
      </c>
      <c r="I361" s="8">
        <v>20181215.600000001</v>
      </c>
      <c r="J361" s="8">
        <v>2012354.8860294125</v>
      </c>
      <c r="K361" s="8">
        <v>0</v>
      </c>
      <c r="L361" s="8">
        <f t="shared" si="11"/>
        <v>2012354.8860294125</v>
      </c>
      <c r="M361" s="8">
        <v>4573063.45</v>
      </c>
      <c r="N361" s="8">
        <f t="shared" si="12"/>
        <v>2560708.5639705877</v>
      </c>
    </row>
    <row r="362" spans="2:14" ht="45">
      <c r="B362" s="9" t="s">
        <v>416</v>
      </c>
      <c r="C362" s="9" t="s">
        <v>417</v>
      </c>
      <c r="D362" s="9" t="s">
        <v>1692</v>
      </c>
      <c r="E362" s="9" t="s">
        <v>416</v>
      </c>
      <c r="F362" s="7" t="s">
        <v>2547</v>
      </c>
      <c r="G362" s="9" t="s">
        <v>1582</v>
      </c>
      <c r="H362" s="9" t="s">
        <v>1581</v>
      </c>
      <c r="I362" s="8">
        <v>322742.52</v>
      </c>
      <c r="J362" s="8">
        <v>38032.801470588252</v>
      </c>
      <c r="K362" s="8">
        <v>0</v>
      </c>
      <c r="L362" s="8">
        <f t="shared" si="11"/>
        <v>38032.801470588252</v>
      </c>
      <c r="M362" s="8">
        <v>69809.210000000006</v>
      </c>
      <c r="N362" s="8">
        <f t="shared" si="12"/>
        <v>31776.408529411754</v>
      </c>
    </row>
    <row r="363" spans="2:14" ht="30">
      <c r="B363" s="9" t="s">
        <v>419</v>
      </c>
      <c r="C363" s="9" t="s">
        <v>420</v>
      </c>
      <c r="D363" s="9" t="s">
        <v>1691</v>
      </c>
      <c r="E363" s="9" t="s">
        <v>419</v>
      </c>
      <c r="F363" s="7" t="s">
        <v>2534</v>
      </c>
      <c r="G363" s="9" t="s">
        <v>1582</v>
      </c>
      <c r="H363" s="9" t="s">
        <v>1581</v>
      </c>
      <c r="I363" s="8">
        <v>6927068.1200000001</v>
      </c>
      <c r="J363" s="8">
        <v>413420.9742647059</v>
      </c>
      <c r="K363" s="8">
        <v>0</v>
      </c>
      <c r="L363" s="8">
        <f t="shared" si="11"/>
        <v>413420.9742647059</v>
      </c>
      <c r="M363" s="8">
        <v>1426976.03</v>
      </c>
      <c r="N363" s="8">
        <f t="shared" si="12"/>
        <v>1013555.0557352941</v>
      </c>
    </row>
    <row r="364" spans="2:14">
      <c r="B364" s="9" t="s">
        <v>422</v>
      </c>
      <c r="C364" s="9" t="s">
        <v>423</v>
      </c>
      <c r="D364" s="9" t="s">
        <v>1690</v>
      </c>
      <c r="E364" s="9" t="s">
        <v>422</v>
      </c>
      <c r="F364" s="7" t="s">
        <v>1689</v>
      </c>
      <c r="G364" s="9" t="s">
        <v>1582</v>
      </c>
      <c r="H364" s="9" t="s">
        <v>1581</v>
      </c>
      <c r="I364" s="8">
        <v>239809.64</v>
      </c>
      <c r="J364" s="8">
        <v>110783.80319581831</v>
      </c>
      <c r="K364" s="8">
        <v>0</v>
      </c>
      <c r="L364" s="8">
        <f t="shared" si="11"/>
        <v>110783.80319581831</v>
      </c>
      <c r="M364" s="8">
        <v>98801.58</v>
      </c>
      <c r="N364" s="8">
        <f t="shared" si="12"/>
        <v>-11982.223195818311</v>
      </c>
    </row>
    <row r="365" spans="2:14" ht="45">
      <c r="B365" s="9" t="s">
        <v>1053</v>
      </c>
      <c r="C365" s="9" t="s">
        <v>1054</v>
      </c>
      <c r="D365" s="9" t="s">
        <v>1685</v>
      </c>
      <c r="E365" s="9" t="s">
        <v>1053</v>
      </c>
      <c r="F365" s="7" t="s">
        <v>3717</v>
      </c>
      <c r="G365" s="9" t="s">
        <v>1578</v>
      </c>
      <c r="H365" s="9" t="s">
        <v>1581</v>
      </c>
      <c r="I365" s="8">
        <v>1822049.03</v>
      </c>
      <c r="J365" s="8">
        <v>1229390.4660870326</v>
      </c>
      <c r="K365" s="8">
        <v>0</v>
      </c>
      <c r="L365" s="8">
        <f t="shared" si="11"/>
        <v>1229390.4660870326</v>
      </c>
      <c r="M365" s="8">
        <v>1048953.6299999999</v>
      </c>
      <c r="N365" s="8">
        <f t="shared" si="12"/>
        <v>-180436.83608703269</v>
      </c>
    </row>
    <row r="366" spans="2:14" ht="60">
      <c r="B366" s="9" t="s">
        <v>1681</v>
      </c>
      <c r="C366" s="9" t="s">
        <v>1683</v>
      </c>
      <c r="D366" s="9" t="s">
        <v>1682</v>
      </c>
      <c r="E366" s="9" t="s">
        <v>1681</v>
      </c>
      <c r="F366" s="7" t="s">
        <v>3718</v>
      </c>
      <c r="G366" s="9" t="s">
        <v>1578</v>
      </c>
      <c r="H366" s="9" t="s">
        <v>1581</v>
      </c>
      <c r="I366" s="8">
        <v>97413.46</v>
      </c>
      <c r="J366" s="8">
        <v>26594.555424953749</v>
      </c>
      <c r="K366" s="8">
        <v>0</v>
      </c>
      <c r="L366" s="8">
        <f t="shared" si="11"/>
        <v>26594.555424953749</v>
      </c>
      <c r="M366" s="8">
        <v>34435.660000000003</v>
      </c>
      <c r="N366" s="8">
        <f t="shared" si="12"/>
        <v>7841.1045750462545</v>
      </c>
    </row>
    <row r="367" spans="2:14" ht="75">
      <c r="B367" s="9" t="s">
        <v>2765</v>
      </c>
      <c r="C367" s="9" t="s">
        <v>2359</v>
      </c>
      <c r="D367" s="9" t="s">
        <v>1749</v>
      </c>
      <c r="E367" s="9" t="s">
        <v>2765</v>
      </c>
      <c r="F367" s="7" t="s">
        <v>2766</v>
      </c>
      <c r="G367" s="9" t="s">
        <v>1582</v>
      </c>
      <c r="H367" s="9" t="s">
        <v>1581</v>
      </c>
      <c r="I367" s="8">
        <v>8496595.4399999995</v>
      </c>
      <c r="J367" s="8">
        <v>1954798.0025089118</v>
      </c>
      <c r="K367" s="8">
        <v>0</v>
      </c>
      <c r="L367" s="8">
        <f t="shared" si="11"/>
        <v>1954798.0025089118</v>
      </c>
      <c r="M367" s="8">
        <v>2297479.4</v>
      </c>
      <c r="N367" s="8">
        <f t="shared" si="12"/>
        <v>342681.39749108814</v>
      </c>
    </row>
    <row r="368" spans="2:14" ht="30">
      <c r="B368" s="9" t="s">
        <v>1069</v>
      </c>
      <c r="C368" s="9" t="s">
        <v>1070</v>
      </c>
      <c r="D368" s="9" t="s">
        <v>1679</v>
      </c>
      <c r="E368" s="9" t="s">
        <v>1069</v>
      </c>
      <c r="F368" s="7" t="s">
        <v>2857</v>
      </c>
      <c r="G368" s="9" t="s">
        <v>1578</v>
      </c>
      <c r="H368" s="9" t="s">
        <v>1577</v>
      </c>
      <c r="I368" s="8">
        <v>75682</v>
      </c>
      <c r="J368" s="8">
        <v>66437.783294229477</v>
      </c>
      <c r="K368" s="8">
        <v>0</v>
      </c>
      <c r="L368" s="8">
        <f t="shared" si="11"/>
        <v>66437.783294229477</v>
      </c>
      <c r="M368" s="8">
        <v>99370.47</v>
      </c>
      <c r="N368" s="8">
        <f t="shared" si="12"/>
        <v>32932.686705770524</v>
      </c>
    </row>
    <row r="369" spans="2:14" ht="60">
      <c r="B369" s="9" t="s">
        <v>801</v>
      </c>
      <c r="C369" s="9" t="s">
        <v>802</v>
      </c>
      <c r="D369" s="9" t="s">
        <v>1894</v>
      </c>
      <c r="E369" s="9" t="s">
        <v>801</v>
      </c>
      <c r="F369" s="7" t="s">
        <v>3719</v>
      </c>
      <c r="G369" s="9" t="s">
        <v>1578</v>
      </c>
      <c r="H369" s="9" t="s">
        <v>1577</v>
      </c>
      <c r="I369" s="8">
        <v>63773</v>
      </c>
      <c r="J369" s="8">
        <v>62784.630743891648</v>
      </c>
      <c r="K369" s="8">
        <v>0</v>
      </c>
      <c r="L369" s="8">
        <f t="shared" si="11"/>
        <v>62784.630743891648</v>
      </c>
      <c r="M369" s="8">
        <v>46554.29</v>
      </c>
      <c r="N369" s="8">
        <f t="shared" si="12"/>
        <v>-16230.340743891647</v>
      </c>
    </row>
    <row r="370" spans="2:14" ht="45">
      <c r="B370" s="9" t="s">
        <v>1072</v>
      </c>
      <c r="C370" s="9" t="s">
        <v>1073</v>
      </c>
      <c r="D370" s="9" t="s">
        <v>1678</v>
      </c>
      <c r="E370" s="9" t="s">
        <v>1072</v>
      </c>
      <c r="F370" s="7" t="s">
        <v>3720</v>
      </c>
      <c r="G370" s="9" t="s">
        <v>1578</v>
      </c>
      <c r="H370" s="9" t="s">
        <v>1577</v>
      </c>
      <c r="I370" s="8">
        <v>169626.19</v>
      </c>
      <c r="J370" s="8">
        <v>154732.41559426277</v>
      </c>
      <c r="K370" s="8">
        <v>0</v>
      </c>
      <c r="L370" s="8">
        <f t="shared" si="11"/>
        <v>154732.41559426277</v>
      </c>
      <c r="M370" s="8">
        <v>137057.96</v>
      </c>
      <c r="N370" s="8">
        <f t="shared" si="12"/>
        <v>-17674.455594262778</v>
      </c>
    </row>
    <row r="371" spans="2:14" ht="60">
      <c r="B371" s="9" t="s">
        <v>1075</v>
      </c>
      <c r="C371" s="9" t="s">
        <v>1076</v>
      </c>
      <c r="D371" s="9" t="s">
        <v>1676</v>
      </c>
      <c r="E371" s="9" t="s">
        <v>1075</v>
      </c>
      <c r="F371" s="7" t="s">
        <v>2446</v>
      </c>
      <c r="G371" s="9" t="s">
        <v>1578</v>
      </c>
      <c r="H371" s="9" t="s">
        <v>1577</v>
      </c>
      <c r="I371" s="8">
        <v>27997.81</v>
      </c>
      <c r="J371" s="8">
        <v>5897.6157464227872</v>
      </c>
      <c r="K371" s="8">
        <v>0</v>
      </c>
      <c r="L371" s="8">
        <f t="shared" si="11"/>
        <v>5897.6157464227872</v>
      </c>
      <c r="M371" s="8">
        <v>17358.64</v>
      </c>
      <c r="N371" s="8">
        <f t="shared" si="12"/>
        <v>11461.024253577212</v>
      </c>
    </row>
    <row r="372" spans="2:14" ht="45">
      <c r="B372" s="9" t="s">
        <v>917</v>
      </c>
      <c r="C372" s="9" t="s">
        <v>918</v>
      </c>
      <c r="D372" s="9" t="s">
        <v>1675</v>
      </c>
      <c r="E372" s="9" t="s">
        <v>917</v>
      </c>
      <c r="F372" s="7" t="s">
        <v>2247</v>
      </c>
      <c r="G372" s="9" t="s">
        <v>1578</v>
      </c>
      <c r="H372" s="9" t="s">
        <v>1581</v>
      </c>
      <c r="I372" s="8">
        <v>161337261.69</v>
      </c>
      <c r="J372" s="8">
        <v>24073785.755868547</v>
      </c>
      <c r="K372" s="8">
        <v>0</v>
      </c>
      <c r="L372" s="8">
        <f t="shared" si="11"/>
        <v>24073785.755868547</v>
      </c>
      <c r="M372" s="8">
        <v>133619520.14</v>
      </c>
      <c r="N372" s="8">
        <f t="shared" si="12"/>
        <v>109545734.38413146</v>
      </c>
    </row>
    <row r="373" spans="2:14" ht="45">
      <c r="B373" s="9" t="s">
        <v>1080</v>
      </c>
      <c r="C373" s="9" t="s">
        <v>1081</v>
      </c>
      <c r="D373" s="9" t="s">
        <v>1671</v>
      </c>
      <c r="E373" s="9" t="s">
        <v>1080</v>
      </c>
      <c r="F373" s="7" t="s">
        <v>2596</v>
      </c>
      <c r="G373" s="9" t="s">
        <v>1582</v>
      </c>
      <c r="H373" s="9" t="s">
        <v>1581</v>
      </c>
      <c r="I373" s="8">
        <v>153853734.41999999</v>
      </c>
      <c r="J373" s="8">
        <v>8671568.4213836472</v>
      </c>
      <c r="K373" s="8">
        <v>0</v>
      </c>
      <c r="L373" s="8">
        <f t="shared" si="11"/>
        <v>8671568.4213836472</v>
      </c>
      <c r="M373" s="8">
        <v>13846836.1</v>
      </c>
      <c r="N373" s="8">
        <f t="shared" si="12"/>
        <v>5175267.6786163524</v>
      </c>
    </row>
    <row r="374" spans="2:14" ht="60">
      <c r="B374" s="9" t="s">
        <v>1564</v>
      </c>
      <c r="C374" s="9" t="s">
        <v>1673</v>
      </c>
      <c r="D374" s="9" t="s">
        <v>1672</v>
      </c>
      <c r="E374" s="9" t="s">
        <v>1564</v>
      </c>
      <c r="F374" s="7" t="s">
        <v>2599</v>
      </c>
      <c r="G374" s="9" t="s">
        <v>1582</v>
      </c>
      <c r="H374" s="9" t="s">
        <v>1581</v>
      </c>
      <c r="I374" s="8">
        <v>195358364.03999999</v>
      </c>
      <c r="J374" s="8">
        <v>11467418.591194969</v>
      </c>
      <c r="K374" s="8">
        <v>0</v>
      </c>
      <c r="L374" s="8">
        <f t="shared" si="11"/>
        <v>11467418.591194969</v>
      </c>
      <c r="M374" s="8">
        <v>20121911.489999998</v>
      </c>
      <c r="N374" s="8">
        <f t="shared" si="12"/>
        <v>8654492.8988050297</v>
      </c>
    </row>
    <row r="375" spans="2:14" ht="60">
      <c r="B375" s="9" t="s">
        <v>1083</v>
      </c>
      <c r="C375" s="9" t="s">
        <v>1084</v>
      </c>
      <c r="D375" s="9" t="s">
        <v>1670</v>
      </c>
      <c r="E375" s="9" t="s">
        <v>1083</v>
      </c>
      <c r="F375" s="7" t="s">
        <v>2601</v>
      </c>
      <c r="G375" s="9" t="s">
        <v>1582</v>
      </c>
      <c r="H375" s="9" t="s">
        <v>1581</v>
      </c>
      <c r="I375" s="8">
        <v>31611535.199999999</v>
      </c>
      <c r="J375" s="8">
        <v>1442799.6415094337</v>
      </c>
      <c r="K375" s="8">
        <v>0</v>
      </c>
      <c r="L375" s="8">
        <f t="shared" si="11"/>
        <v>1442799.6415094337</v>
      </c>
      <c r="M375" s="8">
        <v>3287599.66</v>
      </c>
      <c r="N375" s="8">
        <f t="shared" si="12"/>
        <v>1844800.0184905664</v>
      </c>
    </row>
    <row r="376" spans="2:14" ht="45">
      <c r="B376" s="9" t="s">
        <v>1086</v>
      </c>
      <c r="C376" s="9" t="s">
        <v>1087</v>
      </c>
      <c r="D376" s="9" t="s">
        <v>1669</v>
      </c>
      <c r="E376" s="9" t="s">
        <v>1086</v>
      </c>
      <c r="F376" s="7" t="s">
        <v>2444</v>
      </c>
      <c r="G376" s="9" t="s">
        <v>1578</v>
      </c>
      <c r="H376" s="9" t="s">
        <v>1581</v>
      </c>
      <c r="I376" s="8">
        <v>1077673.23</v>
      </c>
      <c r="J376" s="8">
        <v>291389.466629503</v>
      </c>
      <c r="K376" s="8">
        <v>0</v>
      </c>
      <c r="L376" s="8">
        <f t="shared" si="11"/>
        <v>291389.466629503</v>
      </c>
      <c r="M376" s="8">
        <v>914297.97</v>
      </c>
      <c r="N376" s="8">
        <f t="shared" si="12"/>
        <v>622908.50337049691</v>
      </c>
    </row>
    <row r="377" spans="2:14" ht="30">
      <c r="B377" s="9" t="s">
        <v>425</v>
      </c>
      <c r="C377" s="9" t="s">
        <v>426</v>
      </c>
      <c r="D377" s="9" t="s">
        <v>1668</v>
      </c>
      <c r="E377" s="9" t="s">
        <v>425</v>
      </c>
      <c r="F377" s="7" t="s">
        <v>1667</v>
      </c>
      <c r="G377" s="9" t="s">
        <v>1582</v>
      </c>
      <c r="H377" s="9" t="s">
        <v>1581</v>
      </c>
      <c r="I377" s="8">
        <v>1090128143.1500001</v>
      </c>
      <c r="J377" s="8">
        <v>289752295.22522521</v>
      </c>
      <c r="K377" s="8">
        <v>0</v>
      </c>
      <c r="L377" s="8">
        <f t="shared" si="11"/>
        <v>289752295.22522521</v>
      </c>
      <c r="M377" s="8">
        <v>572535300.77999997</v>
      </c>
      <c r="N377" s="8">
        <f t="shared" si="12"/>
        <v>282783005.55477476</v>
      </c>
    </row>
    <row r="378" spans="2:14" ht="30">
      <c r="B378" s="9" t="s">
        <v>1089</v>
      </c>
      <c r="C378" s="9" t="s">
        <v>1090</v>
      </c>
      <c r="D378" s="9" t="s">
        <v>1664</v>
      </c>
      <c r="E378" s="9" t="s">
        <v>1089</v>
      </c>
      <c r="F378" s="7" t="s">
        <v>2284</v>
      </c>
      <c r="G378" s="9" t="s">
        <v>1582</v>
      </c>
      <c r="H378" s="9" t="s">
        <v>1581</v>
      </c>
      <c r="I378" s="8">
        <v>54372118.399999999</v>
      </c>
      <c r="J378" s="8">
        <v>7626403.8000000007</v>
      </c>
      <c r="K378" s="8">
        <v>0</v>
      </c>
      <c r="L378" s="8">
        <f t="shared" si="11"/>
        <v>7626403.8000000007</v>
      </c>
      <c r="M378" s="8">
        <v>13005810.720000001</v>
      </c>
      <c r="N378" s="8">
        <f t="shared" si="12"/>
        <v>5379406.9199999999</v>
      </c>
    </row>
    <row r="379" spans="2:14" ht="45">
      <c r="B379" s="9" t="s">
        <v>1092</v>
      </c>
      <c r="C379" s="9" t="s">
        <v>1093</v>
      </c>
      <c r="D379" s="9" t="s">
        <v>1663</v>
      </c>
      <c r="E379" s="9" t="s">
        <v>1092</v>
      </c>
      <c r="F379" s="7" t="s">
        <v>2280</v>
      </c>
      <c r="G379" s="9" t="s">
        <v>1582</v>
      </c>
      <c r="H379" s="9" t="s">
        <v>1581</v>
      </c>
      <c r="I379" s="8">
        <v>14140361.27</v>
      </c>
      <c r="J379" s="8">
        <v>1334318.5812499998</v>
      </c>
      <c r="K379" s="8">
        <v>0</v>
      </c>
      <c r="L379" s="8">
        <f t="shared" si="11"/>
        <v>1334318.5812499998</v>
      </c>
      <c r="M379" s="8">
        <v>3349851.58</v>
      </c>
      <c r="N379" s="8">
        <f t="shared" si="12"/>
        <v>2015532.9987500003</v>
      </c>
    </row>
    <row r="380" spans="2:14" ht="30">
      <c r="B380" s="9" t="s">
        <v>1095</v>
      </c>
      <c r="C380" s="9" t="s">
        <v>1096</v>
      </c>
      <c r="D380" s="9" t="s">
        <v>1662</v>
      </c>
      <c r="E380" s="9" t="s">
        <v>1095</v>
      </c>
      <c r="F380" s="7" t="s">
        <v>2269</v>
      </c>
      <c r="G380" s="9" t="s">
        <v>1582</v>
      </c>
      <c r="H380" s="9" t="s">
        <v>1581</v>
      </c>
      <c r="I380" s="8">
        <v>2228266.61</v>
      </c>
      <c r="J380" s="8">
        <v>299262.33749999997</v>
      </c>
      <c r="K380" s="8">
        <v>0</v>
      </c>
      <c r="L380" s="8">
        <f t="shared" si="11"/>
        <v>299262.33749999997</v>
      </c>
      <c r="M380" s="8">
        <v>517626.33</v>
      </c>
      <c r="N380" s="8">
        <f t="shared" si="12"/>
        <v>218363.99250000005</v>
      </c>
    </row>
    <row r="381" spans="2:14" ht="45">
      <c r="B381" s="9" t="s">
        <v>1098</v>
      </c>
      <c r="C381" s="9" t="s">
        <v>1099</v>
      </c>
      <c r="D381" s="9" t="s">
        <v>1661</v>
      </c>
      <c r="E381" s="9" t="s">
        <v>1098</v>
      </c>
      <c r="F381" s="7" t="s">
        <v>2275</v>
      </c>
      <c r="G381" s="9" t="s">
        <v>1582</v>
      </c>
      <c r="H381" s="9" t="s">
        <v>1581</v>
      </c>
      <c r="I381" s="8">
        <v>11666263.6</v>
      </c>
      <c r="J381" s="8">
        <v>1279625.3687499999</v>
      </c>
      <c r="K381" s="8">
        <v>0</v>
      </c>
      <c r="L381" s="8">
        <f t="shared" si="11"/>
        <v>1279625.3687499999</v>
      </c>
      <c r="M381" s="8">
        <v>3417048.6</v>
      </c>
      <c r="N381" s="8">
        <f t="shared" si="12"/>
        <v>2137423.2312500002</v>
      </c>
    </row>
    <row r="382" spans="2:14" ht="45">
      <c r="B382" s="9" t="s">
        <v>1101</v>
      </c>
      <c r="C382" s="9" t="s">
        <v>1102</v>
      </c>
      <c r="D382" s="9" t="s">
        <v>1660</v>
      </c>
      <c r="E382" s="9" t="s">
        <v>1101</v>
      </c>
      <c r="F382" s="7" t="s">
        <v>2276</v>
      </c>
      <c r="G382" s="9" t="s">
        <v>1582</v>
      </c>
      <c r="H382" s="9" t="s">
        <v>1581</v>
      </c>
      <c r="I382" s="8">
        <v>226967313.87</v>
      </c>
      <c r="J382" s="8">
        <v>26117986.225000009</v>
      </c>
      <c r="K382" s="8">
        <v>0</v>
      </c>
      <c r="L382" s="8">
        <f t="shared" si="11"/>
        <v>26117986.225000009</v>
      </c>
      <c r="M382" s="8">
        <v>50432137.140000001</v>
      </c>
      <c r="N382" s="8">
        <f t="shared" si="12"/>
        <v>24314150.914999992</v>
      </c>
    </row>
    <row r="383" spans="2:14" ht="45">
      <c r="B383" s="9" t="s">
        <v>1566</v>
      </c>
      <c r="C383" s="9" t="s">
        <v>1659</v>
      </c>
      <c r="D383" s="9" t="s">
        <v>1658</v>
      </c>
      <c r="E383" s="9" t="s">
        <v>1566</v>
      </c>
      <c r="F383" s="7" t="s">
        <v>3721</v>
      </c>
      <c r="G383" s="9" t="s">
        <v>1582</v>
      </c>
      <c r="H383" s="9" t="s">
        <v>1581</v>
      </c>
      <c r="I383" s="8">
        <v>45352177.509999998</v>
      </c>
      <c r="J383" s="8">
        <v>4550960.2812499981</v>
      </c>
      <c r="K383" s="8">
        <v>0</v>
      </c>
      <c r="L383" s="8">
        <f t="shared" si="11"/>
        <v>4550960.2812499981</v>
      </c>
      <c r="M383" s="8">
        <v>9161139.8599999994</v>
      </c>
      <c r="N383" s="8">
        <f t="shared" si="12"/>
        <v>4610179.5787500013</v>
      </c>
    </row>
    <row r="384" spans="2:14" ht="45">
      <c r="B384" s="9" t="s">
        <v>1104</v>
      </c>
      <c r="C384" s="9" t="s">
        <v>1105</v>
      </c>
      <c r="D384" s="9" t="s">
        <v>1656</v>
      </c>
      <c r="E384" s="9" t="s">
        <v>1104</v>
      </c>
      <c r="F384" s="7" t="s">
        <v>2271</v>
      </c>
      <c r="G384" s="9" t="s">
        <v>1582</v>
      </c>
      <c r="H384" s="9" t="s">
        <v>1581</v>
      </c>
      <c r="I384" s="8">
        <v>62286102.140000001</v>
      </c>
      <c r="J384" s="8">
        <v>6163634.3812499996</v>
      </c>
      <c r="K384" s="8">
        <v>0</v>
      </c>
      <c r="L384" s="8">
        <f t="shared" si="11"/>
        <v>6163634.3812499996</v>
      </c>
      <c r="M384" s="8">
        <v>12581792.630000001</v>
      </c>
      <c r="N384" s="8">
        <f t="shared" si="12"/>
        <v>6418158.2487500012</v>
      </c>
    </row>
    <row r="385" spans="2:14" ht="45">
      <c r="B385" s="9" t="s">
        <v>1107</v>
      </c>
      <c r="C385" s="9" t="s">
        <v>1108</v>
      </c>
      <c r="D385" s="9" t="s">
        <v>1655</v>
      </c>
      <c r="E385" s="9" t="s">
        <v>1107</v>
      </c>
      <c r="F385" s="7" t="s">
        <v>2422</v>
      </c>
      <c r="G385" s="9" t="s">
        <v>1582</v>
      </c>
      <c r="H385" s="9" t="s">
        <v>1581</v>
      </c>
      <c r="I385" s="8">
        <v>2437821.87</v>
      </c>
      <c r="J385" s="8">
        <v>1272194.1165045493</v>
      </c>
      <c r="K385" s="8">
        <v>0</v>
      </c>
      <c r="L385" s="8">
        <f t="shared" si="11"/>
        <v>1272194.1165045493</v>
      </c>
      <c r="M385" s="8">
        <v>590928.02</v>
      </c>
      <c r="N385" s="8">
        <f t="shared" si="12"/>
        <v>-681266.09650454926</v>
      </c>
    </row>
    <row r="386" spans="2:14" ht="30">
      <c r="B386" s="9" t="s">
        <v>3073</v>
      </c>
      <c r="C386" s="9" t="s">
        <v>3074</v>
      </c>
      <c r="D386" s="9" t="s">
        <v>3111</v>
      </c>
      <c r="E386" s="9" t="s">
        <v>3073</v>
      </c>
      <c r="F386" s="7" t="s">
        <v>3285</v>
      </c>
      <c r="G386" s="9" t="s">
        <v>1582</v>
      </c>
      <c r="H386" s="9" t="s">
        <v>1581</v>
      </c>
      <c r="I386" s="8">
        <v>3264123.06</v>
      </c>
      <c r="J386" s="8">
        <v>341682.36000000004</v>
      </c>
      <c r="K386" s="8">
        <v>0</v>
      </c>
      <c r="L386" s="8">
        <f t="shared" si="11"/>
        <v>341682.36000000004</v>
      </c>
      <c r="M386" s="8">
        <v>1052353.28</v>
      </c>
      <c r="N386" s="8">
        <f t="shared" si="12"/>
        <v>710670.91999999993</v>
      </c>
    </row>
    <row r="387" spans="2:14" ht="30">
      <c r="B387" s="9" t="s">
        <v>3606</v>
      </c>
      <c r="C387" s="9" t="s">
        <v>3591</v>
      </c>
      <c r="D387" s="9" t="s">
        <v>3607</v>
      </c>
      <c r="E387" s="9" t="s">
        <v>3606</v>
      </c>
      <c r="F387" s="7" t="s">
        <v>3722</v>
      </c>
      <c r="G387" s="9" t="s">
        <v>1582</v>
      </c>
      <c r="H387" s="9" t="s">
        <v>1581</v>
      </c>
      <c r="I387" s="8">
        <v>105763.88</v>
      </c>
      <c r="J387" s="6">
        <v>0.01</v>
      </c>
      <c r="K387" s="8">
        <v>0</v>
      </c>
      <c r="L387" s="8">
        <f t="shared" si="11"/>
        <v>0.01</v>
      </c>
      <c r="M387" s="8">
        <v>22432.51</v>
      </c>
      <c r="N387" s="8">
        <f t="shared" si="12"/>
        <v>22432.5</v>
      </c>
    </row>
    <row r="388" spans="2:14" ht="60">
      <c r="B388" s="9" t="s">
        <v>1110</v>
      </c>
      <c r="C388" s="9" t="s">
        <v>1111</v>
      </c>
      <c r="D388" s="9" t="s">
        <v>1654</v>
      </c>
      <c r="E388" s="9" t="s">
        <v>1110</v>
      </c>
      <c r="F388" s="7" t="s">
        <v>2287</v>
      </c>
      <c r="G388" s="9" t="s">
        <v>1582</v>
      </c>
      <c r="H388" s="9" t="s">
        <v>1581</v>
      </c>
      <c r="I388" s="8">
        <v>51692585.329999998</v>
      </c>
      <c r="J388" s="8">
        <v>4903879.6124999998</v>
      </c>
      <c r="K388" s="8">
        <v>0</v>
      </c>
      <c r="L388" s="8">
        <f t="shared" si="11"/>
        <v>4903879.6124999998</v>
      </c>
      <c r="M388" s="8">
        <v>9821591.2100000009</v>
      </c>
      <c r="N388" s="8">
        <f t="shared" si="12"/>
        <v>4917711.5975000011</v>
      </c>
    </row>
    <row r="389" spans="2:14" ht="45">
      <c r="B389" s="9" t="s">
        <v>428</v>
      </c>
      <c r="C389" s="9" t="s">
        <v>429</v>
      </c>
      <c r="D389" s="9" t="s">
        <v>1653</v>
      </c>
      <c r="E389" s="9" t="s">
        <v>428</v>
      </c>
      <c r="F389" s="7" t="s">
        <v>2647</v>
      </c>
      <c r="G389" s="9" t="s">
        <v>1582</v>
      </c>
      <c r="H389" s="9" t="s">
        <v>1581</v>
      </c>
      <c r="I389" s="8">
        <v>7400308.75</v>
      </c>
      <c r="J389" s="8">
        <v>930194.92168674711</v>
      </c>
      <c r="K389" s="8">
        <v>0</v>
      </c>
      <c r="L389" s="8">
        <f t="shared" si="11"/>
        <v>930194.92168674711</v>
      </c>
      <c r="M389" s="8">
        <v>2231933.12</v>
      </c>
      <c r="N389" s="8">
        <f t="shared" si="12"/>
        <v>1301738.198313253</v>
      </c>
    </row>
    <row r="390" spans="2:14" ht="75">
      <c r="B390" s="9" t="s">
        <v>1113</v>
      </c>
      <c r="C390" s="9" t="s">
        <v>1114</v>
      </c>
      <c r="D390" s="9" t="s">
        <v>1647</v>
      </c>
      <c r="E390" s="9" t="s">
        <v>1113</v>
      </c>
      <c r="F390" s="7" t="s">
        <v>2655</v>
      </c>
      <c r="G390" s="9" t="s">
        <v>1582</v>
      </c>
      <c r="H390" s="9" t="s">
        <v>1581</v>
      </c>
      <c r="I390" s="8">
        <v>106945462.17</v>
      </c>
      <c r="J390" s="8">
        <v>14190742.74698795</v>
      </c>
      <c r="K390" s="8">
        <v>0</v>
      </c>
      <c r="L390" s="8">
        <f t="shared" si="11"/>
        <v>14190742.74698795</v>
      </c>
      <c r="M390" s="8">
        <v>24469121.75</v>
      </c>
      <c r="N390" s="8">
        <f t="shared" si="12"/>
        <v>10278379.00301205</v>
      </c>
    </row>
    <row r="391" spans="2:14" ht="45">
      <c r="B391" s="9" t="s">
        <v>1116</v>
      </c>
      <c r="C391" s="9" t="s">
        <v>1117</v>
      </c>
      <c r="D391" s="9" t="s">
        <v>1652</v>
      </c>
      <c r="E391" s="9" t="s">
        <v>1116</v>
      </c>
      <c r="F391" s="7" t="s">
        <v>2288</v>
      </c>
      <c r="G391" s="9" t="s">
        <v>1582</v>
      </c>
      <c r="H391" s="9" t="s">
        <v>1581</v>
      </c>
      <c r="I391" s="8">
        <v>35994152.719999999</v>
      </c>
      <c r="J391" s="8">
        <v>3701750.8562499993</v>
      </c>
      <c r="K391" s="8">
        <v>0</v>
      </c>
      <c r="L391" s="8">
        <f t="shared" si="11"/>
        <v>3701750.8562499993</v>
      </c>
      <c r="M391" s="8">
        <v>7414795.46</v>
      </c>
      <c r="N391" s="8">
        <f t="shared" si="12"/>
        <v>3713044.6037500007</v>
      </c>
    </row>
    <row r="392" spans="2:14" ht="45">
      <c r="B392" s="9" t="s">
        <v>1119</v>
      </c>
      <c r="C392" s="9" t="s">
        <v>1120</v>
      </c>
      <c r="D392" s="9" t="s">
        <v>1651</v>
      </c>
      <c r="E392" s="9" t="s">
        <v>1119</v>
      </c>
      <c r="F392" s="7" t="s">
        <v>2652</v>
      </c>
      <c r="G392" s="9" t="s">
        <v>1582</v>
      </c>
      <c r="H392" s="9" t="s">
        <v>1581</v>
      </c>
      <c r="I392" s="8">
        <v>2254960.65</v>
      </c>
      <c r="J392" s="8">
        <v>206163.57831325301</v>
      </c>
      <c r="K392" s="8">
        <v>0</v>
      </c>
      <c r="L392" s="8">
        <f t="shared" ref="L392:L435" si="13">J392+K392</f>
        <v>206163.57831325301</v>
      </c>
      <c r="M392" s="8">
        <v>492483.41</v>
      </c>
      <c r="N392" s="8">
        <f t="shared" ref="N392:N435" si="14">M392-L392</f>
        <v>286319.83168674697</v>
      </c>
    </row>
    <row r="393" spans="2:14" ht="45">
      <c r="B393" s="9" t="s">
        <v>478</v>
      </c>
      <c r="C393" s="9" t="s">
        <v>479</v>
      </c>
      <c r="D393" s="9" t="s">
        <v>1650</v>
      </c>
      <c r="E393" s="9" t="s">
        <v>478</v>
      </c>
      <c r="F393" s="7" t="s">
        <v>2635</v>
      </c>
      <c r="G393" s="9" t="s">
        <v>1582</v>
      </c>
      <c r="H393" s="9" t="s">
        <v>1581</v>
      </c>
      <c r="I393" s="8">
        <v>52161555.029999994</v>
      </c>
      <c r="J393" s="8">
        <v>5926510.2228915654</v>
      </c>
      <c r="K393" s="8">
        <v>0</v>
      </c>
      <c r="L393" s="8">
        <f t="shared" si="13"/>
        <v>5926510.2228915654</v>
      </c>
      <c r="M393" s="8">
        <v>10849603.449999999</v>
      </c>
      <c r="N393" s="8">
        <f t="shared" si="14"/>
        <v>4923093.2271084338</v>
      </c>
    </row>
    <row r="394" spans="2:14" ht="75">
      <c r="B394" s="9" t="s">
        <v>431</v>
      </c>
      <c r="C394" s="9" t="s">
        <v>432</v>
      </c>
      <c r="D394" s="9" t="s">
        <v>1649</v>
      </c>
      <c r="E394" s="9" t="s">
        <v>431</v>
      </c>
      <c r="F394" s="7" t="s">
        <v>2620</v>
      </c>
      <c r="G394" s="9" t="s">
        <v>1582</v>
      </c>
      <c r="H394" s="9" t="s">
        <v>1581</v>
      </c>
      <c r="I394" s="8">
        <v>5991902.6699999999</v>
      </c>
      <c r="J394" s="8">
        <v>452647.7951807229</v>
      </c>
      <c r="K394" s="8">
        <v>0</v>
      </c>
      <c r="L394" s="8">
        <f t="shared" si="13"/>
        <v>452647.7951807229</v>
      </c>
      <c r="M394" s="8">
        <v>1318218.5900000001</v>
      </c>
      <c r="N394" s="8">
        <f t="shared" si="14"/>
        <v>865570.79481927725</v>
      </c>
    </row>
    <row r="395" spans="2:14" ht="60">
      <c r="B395" s="9" t="s">
        <v>1128</v>
      </c>
      <c r="C395" s="9" t="s">
        <v>1129</v>
      </c>
      <c r="D395" s="9" t="s">
        <v>1648</v>
      </c>
      <c r="E395" s="9" t="s">
        <v>1128</v>
      </c>
      <c r="F395" s="7" t="s">
        <v>1130</v>
      </c>
      <c r="G395" s="9" t="s">
        <v>1582</v>
      </c>
      <c r="H395" s="9" t="s">
        <v>1581</v>
      </c>
      <c r="I395" s="8">
        <v>133634.25</v>
      </c>
      <c r="J395" s="6">
        <v>0.01</v>
      </c>
      <c r="K395" s="8">
        <v>0</v>
      </c>
      <c r="L395" s="8">
        <f t="shared" si="13"/>
        <v>0.01</v>
      </c>
      <c r="M395" s="8">
        <v>29399.54</v>
      </c>
      <c r="N395" s="8">
        <f t="shared" si="14"/>
        <v>29399.530000000002</v>
      </c>
    </row>
    <row r="396" spans="2:14" ht="60">
      <c r="B396" s="9" t="s">
        <v>434</v>
      </c>
      <c r="C396" s="9" t="s">
        <v>435</v>
      </c>
      <c r="D396" s="9" t="s">
        <v>1646</v>
      </c>
      <c r="E396" s="9" t="s">
        <v>434</v>
      </c>
      <c r="F396" s="7" t="s">
        <v>2661</v>
      </c>
      <c r="G396" s="9" t="s">
        <v>1582</v>
      </c>
      <c r="H396" s="9" t="s">
        <v>1581</v>
      </c>
      <c r="I396" s="8">
        <v>9110719.9700000007</v>
      </c>
      <c r="J396" s="8">
        <v>1162598.5481927712</v>
      </c>
      <c r="K396" s="8">
        <v>0</v>
      </c>
      <c r="L396" s="8">
        <f t="shared" si="13"/>
        <v>1162598.5481927712</v>
      </c>
      <c r="M396" s="8">
        <v>1731036.79</v>
      </c>
      <c r="N396" s="8">
        <f t="shared" si="14"/>
        <v>568438.24180722889</v>
      </c>
    </row>
    <row r="397" spans="2:14" ht="45">
      <c r="B397" s="9" t="s">
        <v>437</v>
      </c>
      <c r="C397" s="9" t="s">
        <v>438</v>
      </c>
      <c r="D397" s="9" t="s">
        <v>1645</v>
      </c>
      <c r="E397" s="9" t="s">
        <v>437</v>
      </c>
      <c r="F397" s="7" t="s">
        <v>3723</v>
      </c>
      <c r="G397" s="9" t="s">
        <v>1582</v>
      </c>
      <c r="H397" s="9" t="s">
        <v>1581</v>
      </c>
      <c r="I397" s="8">
        <v>9020080</v>
      </c>
      <c r="J397" s="8">
        <v>4873362.2867132872</v>
      </c>
      <c r="K397" s="8">
        <v>0</v>
      </c>
      <c r="L397" s="8">
        <f t="shared" si="13"/>
        <v>4873362.2867132872</v>
      </c>
      <c r="M397" s="8">
        <v>2004261.78</v>
      </c>
      <c r="N397" s="8">
        <f t="shared" si="14"/>
        <v>-2869100.506713287</v>
      </c>
    </row>
    <row r="398" spans="2:14" ht="30">
      <c r="B398" s="9" t="s">
        <v>440</v>
      </c>
      <c r="C398" s="9" t="s">
        <v>441</v>
      </c>
      <c r="D398" s="9" t="s">
        <v>1643</v>
      </c>
      <c r="E398" s="9" t="s">
        <v>440</v>
      </c>
      <c r="F398" s="7" t="s">
        <v>1642</v>
      </c>
      <c r="G398" s="9" t="s">
        <v>1582</v>
      </c>
      <c r="H398" s="9" t="s">
        <v>1581</v>
      </c>
      <c r="I398" s="8">
        <v>1055819.74</v>
      </c>
      <c r="J398" s="8">
        <v>133565.63043478262</v>
      </c>
      <c r="K398" s="8">
        <v>0</v>
      </c>
      <c r="L398" s="8">
        <f t="shared" si="13"/>
        <v>133565.63043478262</v>
      </c>
      <c r="M398" s="8">
        <v>253396.74</v>
      </c>
      <c r="N398" s="8">
        <f t="shared" si="14"/>
        <v>119831.10956521737</v>
      </c>
    </row>
    <row r="399" spans="2:14" ht="45">
      <c r="B399" s="9" t="s">
        <v>413</v>
      </c>
      <c r="C399" s="9" t="s">
        <v>414</v>
      </c>
      <c r="D399" s="9" t="s">
        <v>1641</v>
      </c>
      <c r="E399" s="9" t="s">
        <v>413</v>
      </c>
      <c r="F399" s="7" t="s">
        <v>2571</v>
      </c>
      <c r="G399" s="9" t="s">
        <v>1582</v>
      </c>
      <c r="H399" s="9" t="s">
        <v>1581</v>
      </c>
      <c r="I399" s="8">
        <v>3405442.29</v>
      </c>
      <c r="J399" s="8">
        <v>135784.44852941181</v>
      </c>
      <c r="K399" s="8">
        <v>0</v>
      </c>
      <c r="L399" s="8">
        <f t="shared" si="13"/>
        <v>135784.44852941181</v>
      </c>
      <c r="M399" s="8">
        <v>451561.65</v>
      </c>
      <c r="N399" s="8">
        <f t="shared" si="14"/>
        <v>315777.20147058822</v>
      </c>
    </row>
    <row r="400" spans="2:14" ht="45">
      <c r="B400" s="9" t="s">
        <v>1131</v>
      </c>
      <c r="C400" s="9" t="s">
        <v>1132</v>
      </c>
      <c r="D400" s="9" t="s">
        <v>2181</v>
      </c>
      <c r="E400" s="9" t="s">
        <v>1131</v>
      </c>
      <c r="F400" s="7" t="s">
        <v>2234</v>
      </c>
      <c r="G400" s="9" t="s">
        <v>1582</v>
      </c>
      <c r="H400" s="9" t="s">
        <v>1581</v>
      </c>
      <c r="I400" s="8">
        <v>21649.38</v>
      </c>
      <c r="J400" s="8">
        <v>4630.7594936708865</v>
      </c>
      <c r="K400" s="8">
        <v>0</v>
      </c>
      <c r="L400" s="8">
        <f t="shared" si="13"/>
        <v>4630.7594936708865</v>
      </c>
      <c r="M400" s="8">
        <v>6927.8</v>
      </c>
      <c r="N400" s="8">
        <f t="shared" si="14"/>
        <v>2297.0405063291137</v>
      </c>
    </row>
    <row r="401" spans="2:14" ht="30">
      <c r="B401" s="9" t="s">
        <v>1134</v>
      </c>
      <c r="C401" s="9" t="s">
        <v>1135</v>
      </c>
      <c r="D401" s="9" t="s">
        <v>1640</v>
      </c>
      <c r="E401" s="9" t="s">
        <v>1134</v>
      </c>
      <c r="F401" s="7" t="s">
        <v>2472</v>
      </c>
      <c r="G401" s="9" t="s">
        <v>1582</v>
      </c>
      <c r="H401" s="9" t="s">
        <v>1581</v>
      </c>
      <c r="I401" s="8">
        <v>48990939.869999997</v>
      </c>
      <c r="J401" s="8">
        <v>3386008.2882096069</v>
      </c>
      <c r="K401" s="8">
        <v>0</v>
      </c>
      <c r="L401" s="8">
        <f t="shared" si="13"/>
        <v>3386008.2882096069</v>
      </c>
      <c r="M401" s="8">
        <v>8411744.3800000008</v>
      </c>
      <c r="N401" s="8">
        <f t="shared" si="14"/>
        <v>5025736.0917903939</v>
      </c>
    </row>
    <row r="402" spans="2:14" ht="45">
      <c r="B402" s="9" t="s">
        <v>1137</v>
      </c>
      <c r="C402" s="9" t="s">
        <v>1138</v>
      </c>
      <c r="D402" s="9" t="s">
        <v>1639</v>
      </c>
      <c r="E402" s="9" t="s">
        <v>1137</v>
      </c>
      <c r="F402" s="7" t="s">
        <v>3724</v>
      </c>
      <c r="G402" s="9" t="s">
        <v>1582</v>
      </c>
      <c r="H402" s="9" t="s">
        <v>1581</v>
      </c>
      <c r="I402" s="8">
        <v>130555112.89</v>
      </c>
      <c r="J402" s="8">
        <v>5676429.4007352926</v>
      </c>
      <c r="K402" s="8">
        <v>0</v>
      </c>
      <c r="L402" s="8">
        <f t="shared" si="13"/>
        <v>5676429.4007352926</v>
      </c>
      <c r="M402" s="8">
        <v>22194369.190000001</v>
      </c>
      <c r="N402" s="8">
        <f t="shared" si="14"/>
        <v>16517939.789264709</v>
      </c>
    </row>
    <row r="403" spans="2:14" ht="60">
      <c r="B403" s="9" t="s">
        <v>443</v>
      </c>
      <c r="C403" s="9" t="s">
        <v>444</v>
      </c>
      <c r="D403" s="9" t="s">
        <v>2183</v>
      </c>
      <c r="E403" s="9" t="s">
        <v>443</v>
      </c>
      <c r="F403" s="7" t="s">
        <v>2281</v>
      </c>
      <c r="G403" s="9" t="s">
        <v>1582</v>
      </c>
      <c r="H403" s="9" t="s">
        <v>1581</v>
      </c>
      <c r="I403" s="8">
        <v>326186.89</v>
      </c>
      <c r="J403" s="8">
        <v>26414.075000000004</v>
      </c>
      <c r="K403" s="8">
        <v>0</v>
      </c>
      <c r="L403" s="8">
        <f t="shared" si="13"/>
        <v>26414.075000000004</v>
      </c>
      <c r="M403" s="8">
        <v>78284.850000000006</v>
      </c>
      <c r="N403" s="8">
        <f t="shared" si="14"/>
        <v>51870.775000000001</v>
      </c>
    </row>
    <row r="404" spans="2:14" ht="45">
      <c r="B404" s="9" t="s">
        <v>1289</v>
      </c>
      <c r="C404" s="9" t="s">
        <v>1290</v>
      </c>
      <c r="D404" s="9" t="s">
        <v>1634</v>
      </c>
      <c r="E404" s="9" t="s">
        <v>1289</v>
      </c>
      <c r="F404" s="7" t="s">
        <v>2384</v>
      </c>
      <c r="G404" s="9" t="s">
        <v>1578</v>
      </c>
      <c r="H404" s="9" t="s">
        <v>1581</v>
      </c>
      <c r="I404" s="8">
        <v>13025252.34</v>
      </c>
      <c r="J404" s="8">
        <v>4246426.5748513173</v>
      </c>
      <c r="K404" s="8">
        <v>0</v>
      </c>
      <c r="L404" s="8">
        <f t="shared" si="13"/>
        <v>4246426.5748513173</v>
      </c>
      <c r="M404" s="8">
        <v>5130646.8899999997</v>
      </c>
      <c r="N404" s="8">
        <f t="shared" si="14"/>
        <v>884220.31514868233</v>
      </c>
    </row>
    <row r="405" spans="2:14" ht="30">
      <c r="B405" s="9" t="s">
        <v>1143</v>
      </c>
      <c r="C405" s="9" t="s">
        <v>1144</v>
      </c>
      <c r="D405" s="9" t="s">
        <v>1633</v>
      </c>
      <c r="E405" s="9" t="s">
        <v>1143</v>
      </c>
      <c r="F405" s="7" t="s">
        <v>2561</v>
      </c>
      <c r="G405" s="9" t="s">
        <v>1582</v>
      </c>
      <c r="H405" s="9" t="s">
        <v>1581</v>
      </c>
      <c r="I405" s="8">
        <v>62496.42</v>
      </c>
      <c r="J405" s="6">
        <v>0.01</v>
      </c>
      <c r="K405" s="8">
        <v>0</v>
      </c>
      <c r="L405" s="8">
        <f t="shared" si="13"/>
        <v>0.01</v>
      </c>
      <c r="M405" s="8">
        <v>11249.36</v>
      </c>
      <c r="N405" s="8">
        <f t="shared" si="14"/>
        <v>11249.35</v>
      </c>
    </row>
    <row r="406" spans="2:14" ht="60">
      <c r="B406" s="9" t="s">
        <v>301</v>
      </c>
      <c r="C406" s="9" t="s">
        <v>302</v>
      </c>
      <c r="D406" s="9" t="s">
        <v>1632</v>
      </c>
      <c r="E406" s="9" t="s">
        <v>301</v>
      </c>
      <c r="F406" s="7" t="s">
        <v>3725</v>
      </c>
      <c r="G406" s="9" t="s">
        <v>1582</v>
      </c>
      <c r="H406" s="9" t="s">
        <v>1581</v>
      </c>
      <c r="I406" s="8">
        <v>4075749.77</v>
      </c>
      <c r="J406" s="8">
        <v>236143.67499999999</v>
      </c>
      <c r="K406" s="8">
        <v>0</v>
      </c>
      <c r="L406" s="8">
        <f t="shared" si="13"/>
        <v>236143.67499999999</v>
      </c>
      <c r="M406" s="8">
        <v>873025.6</v>
      </c>
      <c r="N406" s="8">
        <f t="shared" si="14"/>
        <v>636881.92500000005</v>
      </c>
    </row>
    <row r="407" spans="2:14" ht="75">
      <c r="B407" s="9" t="s">
        <v>1522</v>
      </c>
      <c r="C407" s="9" t="s">
        <v>1523</v>
      </c>
      <c r="D407" s="9" t="s">
        <v>1630</v>
      </c>
      <c r="E407" s="9" t="s">
        <v>1522</v>
      </c>
      <c r="F407" s="7" t="s">
        <v>1524</v>
      </c>
      <c r="G407" s="9" t="s">
        <v>1582</v>
      </c>
      <c r="H407" s="9" t="s">
        <v>1581</v>
      </c>
      <c r="I407" s="8">
        <v>404739.26</v>
      </c>
      <c r="J407" s="8">
        <v>176800</v>
      </c>
      <c r="K407" s="8">
        <v>0</v>
      </c>
      <c r="L407" s="8">
        <f t="shared" si="13"/>
        <v>176800</v>
      </c>
      <c r="M407" s="8">
        <v>303554.45</v>
      </c>
      <c r="N407" s="8">
        <f t="shared" si="14"/>
        <v>126754.45000000001</v>
      </c>
    </row>
    <row r="408" spans="2:14" ht="60">
      <c r="B408" s="9" t="s">
        <v>447</v>
      </c>
      <c r="C408" s="9" t="s">
        <v>448</v>
      </c>
      <c r="D408" s="9" t="s">
        <v>1629</v>
      </c>
      <c r="E408" s="9" t="s">
        <v>447</v>
      </c>
      <c r="F408" s="7" t="s">
        <v>2527</v>
      </c>
      <c r="G408" s="9" t="s">
        <v>1582</v>
      </c>
      <c r="H408" s="9" t="s">
        <v>1581</v>
      </c>
      <c r="I408" s="8">
        <v>2793429.74</v>
      </c>
      <c r="J408" s="6">
        <v>0.01</v>
      </c>
      <c r="K408" s="8">
        <v>0</v>
      </c>
      <c r="L408" s="8">
        <f t="shared" si="13"/>
        <v>0.01</v>
      </c>
      <c r="M408" s="8">
        <v>370408.79</v>
      </c>
      <c r="N408" s="8">
        <f t="shared" si="14"/>
        <v>370408.77999999997</v>
      </c>
    </row>
    <row r="409" spans="2:14" ht="45">
      <c r="B409" s="9" t="s">
        <v>453</v>
      </c>
      <c r="C409" s="9" t="s">
        <v>454</v>
      </c>
      <c r="D409" s="9" t="s">
        <v>1628</v>
      </c>
      <c r="E409" s="9" t="s">
        <v>453</v>
      </c>
      <c r="F409" s="7" t="s">
        <v>2521</v>
      </c>
      <c r="G409" s="9" t="s">
        <v>1582</v>
      </c>
      <c r="H409" s="9" t="s">
        <v>1581</v>
      </c>
      <c r="I409" s="8">
        <v>3894455.29</v>
      </c>
      <c r="J409" s="8">
        <v>38212.867647058825</v>
      </c>
      <c r="K409" s="8">
        <v>0</v>
      </c>
      <c r="L409" s="8">
        <f t="shared" si="13"/>
        <v>38212.867647058825</v>
      </c>
      <c r="M409" s="8">
        <v>595851.66</v>
      </c>
      <c r="N409" s="8">
        <f t="shared" si="14"/>
        <v>557638.79235294124</v>
      </c>
    </row>
    <row r="410" spans="2:14" ht="45">
      <c r="B410" s="9" t="s">
        <v>1149</v>
      </c>
      <c r="C410" s="9" t="s">
        <v>1150</v>
      </c>
      <c r="D410" s="9" t="s">
        <v>1627</v>
      </c>
      <c r="E410" s="9" t="s">
        <v>1149</v>
      </c>
      <c r="F410" s="7" t="s">
        <v>3726</v>
      </c>
      <c r="G410" s="9" t="s">
        <v>1578</v>
      </c>
      <c r="H410" s="9" t="s">
        <v>1581</v>
      </c>
      <c r="I410" s="8">
        <v>240895.83</v>
      </c>
      <c r="J410" s="8">
        <v>168940.48917907511</v>
      </c>
      <c r="K410" s="8">
        <v>0</v>
      </c>
      <c r="L410" s="8">
        <f t="shared" si="13"/>
        <v>168940.48917907511</v>
      </c>
      <c r="M410" s="8">
        <v>203460.62</v>
      </c>
      <c r="N410" s="8">
        <f t="shared" si="14"/>
        <v>34520.130820924882</v>
      </c>
    </row>
    <row r="411" spans="2:14" ht="45">
      <c r="B411" s="9" t="s">
        <v>459</v>
      </c>
      <c r="C411" s="9" t="s">
        <v>460</v>
      </c>
      <c r="D411" s="9" t="s">
        <v>1625</v>
      </c>
      <c r="E411" s="9" t="s">
        <v>459</v>
      </c>
      <c r="F411" s="7" t="s">
        <v>2404</v>
      </c>
      <c r="G411" s="9" t="s">
        <v>1582</v>
      </c>
      <c r="H411" s="9" t="s">
        <v>1581</v>
      </c>
      <c r="I411" s="8">
        <v>125226080.43000001</v>
      </c>
      <c r="J411" s="8">
        <v>10054028.244565219</v>
      </c>
      <c r="K411" s="8">
        <v>0</v>
      </c>
      <c r="L411" s="8">
        <f t="shared" si="13"/>
        <v>10054028.244565219</v>
      </c>
      <c r="M411" s="8">
        <v>15177400.949999999</v>
      </c>
      <c r="N411" s="8">
        <f t="shared" si="14"/>
        <v>5123372.7054347806</v>
      </c>
    </row>
    <row r="412" spans="2:14" ht="30">
      <c r="B412" s="9" t="s">
        <v>1571</v>
      </c>
      <c r="C412" s="9" t="s">
        <v>1624</v>
      </c>
      <c r="D412" s="9" t="s">
        <v>1623</v>
      </c>
      <c r="E412" s="9" t="s">
        <v>1571</v>
      </c>
      <c r="F412" s="7" t="s">
        <v>2396</v>
      </c>
      <c r="G412" s="9" t="s">
        <v>1582</v>
      </c>
      <c r="H412" s="9" t="s">
        <v>1581</v>
      </c>
      <c r="I412" s="8">
        <v>84787490.969999999</v>
      </c>
      <c r="J412" s="8">
        <v>6494436.826086957</v>
      </c>
      <c r="K412" s="8">
        <v>0</v>
      </c>
      <c r="L412" s="8">
        <f t="shared" si="13"/>
        <v>6494436.826086957</v>
      </c>
      <c r="M412" s="8">
        <v>13226848.6</v>
      </c>
      <c r="N412" s="8">
        <f t="shared" si="14"/>
        <v>6732411.7739130426</v>
      </c>
    </row>
    <row r="413" spans="2:14" ht="30">
      <c r="B413" s="9" t="s">
        <v>462</v>
      </c>
      <c r="C413" s="9" t="s">
        <v>463</v>
      </c>
      <c r="D413" s="9" t="s">
        <v>1622</v>
      </c>
      <c r="E413" s="9" t="s">
        <v>462</v>
      </c>
      <c r="F413" s="7" t="s">
        <v>1621</v>
      </c>
      <c r="G413" s="9" t="s">
        <v>1582</v>
      </c>
      <c r="H413" s="9" t="s">
        <v>1581</v>
      </c>
      <c r="I413" s="8">
        <v>57378464.770000003</v>
      </c>
      <c r="J413" s="8">
        <v>9403234</v>
      </c>
      <c r="K413" s="8">
        <v>0</v>
      </c>
      <c r="L413" s="8">
        <f t="shared" si="13"/>
        <v>9403234</v>
      </c>
      <c r="M413" s="8">
        <v>16111872.91</v>
      </c>
      <c r="N413" s="8">
        <f t="shared" si="14"/>
        <v>6708638.9100000001</v>
      </c>
    </row>
    <row r="414" spans="2:14" ht="30">
      <c r="B414" s="9" t="s">
        <v>1152</v>
      </c>
      <c r="C414" s="9" t="s">
        <v>1153</v>
      </c>
      <c r="D414" s="9" t="s">
        <v>1620</v>
      </c>
      <c r="E414" s="9" t="s">
        <v>1152</v>
      </c>
      <c r="F414" s="7" t="s">
        <v>1619</v>
      </c>
      <c r="G414" s="9" t="s">
        <v>1578</v>
      </c>
      <c r="H414" s="9" t="s">
        <v>1581</v>
      </c>
      <c r="I414" s="8">
        <v>179810345.75999999</v>
      </c>
      <c r="J414" s="8">
        <v>22036144.162500001</v>
      </c>
      <c r="K414" s="8">
        <v>74369683</v>
      </c>
      <c r="L414" s="8">
        <f t="shared" si="13"/>
        <v>96405827.162499994</v>
      </c>
      <c r="M414" s="8">
        <v>43154482.979999997</v>
      </c>
      <c r="N414" s="8">
        <f t="shared" si="14"/>
        <v>-53251344.182499997</v>
      </c>
    </row>
    <row r="415" spans="2:14" ht="45">
      <c r="B415" s="9" t="s">
        <v>1616</v>
      </c>
      <c r="C415" s="9" t="s">
        <v>1618</v>
      </c>
      <c r="D415" s="9" t="s">
        <v>1617</v>
      </c>
      <c r="E415" s="9" t="s">
        <v>1616</v>
      </c>
      <c r="F415" s="7" t="s">
        <v>3727</v>
      </c>
      <c r="G415" s="9" t="s">
        <v>1609</v>
      </c>
      <c r="H415" s="9" t="s">
        <v>1581</v>
      </c>
      <c r="I415" s="8">
        <v>4677741.18</v>
      </c>
      <c r="J415" s="8">
        <v>1504385.4600000002</v>
      </c>
      <c r="K415" s="8">
        <v>0</v>
      </c>
      <c r="L415" s="8">
        <f t="shared" si="13"/>
        <v>1504385.4600000002</v>
      </c>
      <c r="M415" s="8">
        <v>2337935.04</v>
      </c>
      <c r="N415" s="8">
        <f t="shared" si="14"/>
        <v>833549.57999999984</v>
      </c>
    </row>
    <row r="416" spans="2:14" ht="30">
      <c r="B416" s="9" t="s">
        <v>1635</v>
      </c>
      <c r="C416" s="9" t="s">
        <v>1637</v>
      </c>
      <c r="D416" s="9" t="s">
        <v>1636</v>
      </c>
      <c r="E416" s="9" t="s">
        <v>1635</v>
      </c>
      <c r="F416" s="7" t="s">
        <v>3728</v>
      </c>
      <c r="G416" s="9" t="s">
        <v>1609</v>
      </c>
      <c r="H416" s="9" t="s">
        <v>1581</v>
      </c>
      <c r="I416" s="8">
        <v>82055814.099999994</v>
      </c>
      <c r="J416" s="8">
        <v>23660801.829999998</v>
      </c>
      <c r="K416" s="8">
        <v>0</v>
      </c>
      <c r="L416" s="8">
        <f t="shared" si="13"/>
        <v>23660801.829999998</v>
      </c>
      <c r="M416" s="8">
        <v>29293925.640000001</v>
      </c>
      <c r="N416" s="8">
        <f t="shared" si="14"/>
        <v>5633123.8100000024</v>
      </c>
    </row>
    <row r="417" spans="2:14" ht="45">
      <c r="B417" s="9" t="s">
        <v>465</v>
      </c>
      <c r="C417" s="9" t="s">
        <v>466</v>
      </c>
      <c r="D417" s="9" t="s">
        <v>1611</v>
      </c>
      <c r="E417" s="9" t="s">
        <v>465</v>
      </c>
      <c r="F417" s="7" t="s">
        <v>3729</v>
      </c>
      <c r="G417" s="9" t="s">
        <v>1609</v>
      </c>
      <c r="H417" s="9" t="s">
        <v>1581</v>
      </c>
      <c r="I417" s="8">
        <v>77341495.769999996</v>
      </c>
      <c r="J417" s="8">
        <v>8951729.4779116474</v>
      </c>
      <c r="K417" s="8">
        <v>0</v>
      </c>
      <c r="L417" s="8">
        <f t="shared" si="13"/>
        <v>8951729.4779116474</v>
      </c>
      <c r="M417" s="8">
        <v>26033147.469999999</v>
      </c>
      <c r="N417" s="8">
        <f t="shared" si="14"/>
        <v>17081417.992088351</v>
      </c>
    </row>
    <row r="418" spans="2:14" ht="45">
      <c r="B418" s="9" t="s">
        <v>1613</v>
      </c>
      <c r="C418" s="9" t="s">
        <v>1615</v>
      </c>
      <c r="D418" s="9" t="s">
        <v>1614</v>
      </c>
      <c r="E418" s="9" t="s">
        <v>1613</v>
      </c>
      <c r="F418" s="7" t="s">
        <v>1612</v>
      </c>
      <c r="G418" s="9" t="s">
        <v>1609</v>
      </c>
      <c r="H418" s="9" t="s">
        <v>1581</v>
      </c>
      <c r="I418" s="8">
        <v>243915283.44999999</v>
      </c>
      <c r="J418" s="8">
        <v>79421619.609999999</v>
      </c>
      <c r="K418" s="8">
        <v>0</v>
      </c>
      <c r="L418" s="8">
        <f t="shared" si="13"/>
        <v>79421619.609999999</v>
      </c>
      <c r="M418" s="8">
        <v>102005371.53</v>
      </c>
      <c r="N418" s="8">
        <f t="shared" si="14"/>
        <v>22583751.920000002</v>
      </c>
    </row>
    <row r="419" spans="2:14" ht="30">
      <c r="B419" s="9" t="s">
        <v>468</v>
      </c>
      <c r="C419" s="9" t="s">
        <v>469</v>
      </c>
      <c r="D419" s="9" t="s">
        <v>1605</v>
      </c>
      <c r="E419" s="9" t="s">
        <v>468</v>
      </c>
      <c r="F419" s="7" t="s">
        <v>1604</v>
      </c>
      <c r="G419" s="9" t="s">
        <v>1582</v>
      </c>
      <c r="H419" s="9" t="s">
        <v>1581</v>
      </c>
      <c r="I419" s="8">
        <v>4564871.34</v>
      </c>
      <c r="J419" s="8">
        <v>421126.73750000005</v>
      </c>
      <c r="K419" s="8">
        <v>0</v>
      </c>
      <c r="L419" s="8">
        <f t="shared" si="13"/>
        <v>421126.73750000005</v>
      </c>
      <c r="M419" s="8">
        <v>912974.27</v>
      </c>
      <c r="N419" s="8">
        <f t="shared" si="14"/>
        <v>491847.53249999997</v>
      </c>
    </row>
    <row r="420" spans="2:14" ht="45">
      <c r="B420" s="9" t="s">
        <v>471</v>
      </c>
      <c r="C420" s="9" t="s">
        <v>472</v>
      </c>
      <c r="D420" s="9" t="s">
        <v>2767</v>
      </c>
      <c r="E420" s="9" t="s">
        <v>471</v>
      </c>
      <c r="F420" s="7" t="s">
        <v>2325</v>
      </c>
      <c r="G420" s="9" t="s">
        <v>1578</v>
      </c>
      <c r="H420" s="9" t="s">
        <v>1577</v>
      </c>
      <c r="I420" s="8">
        <v>8287438.1399999997</v>
      </c>
      <c r="J420" s="8">
        <v>4438081.9053303152</v>
      </c>
      <c r="K420" s="8">
        <v>0</v>
      </c>
      <c r="L420" s="8">
        <f t="shared" si="13"/>
        <v>4438081.9053303152</v>
      </c>
      <c r="M420" s="8">
        <v>4097309.42</v>
      </c>
      <c r="N420" s="8">
        <f t="shared" si="14"/>
        <v>-340772.48533031531</v>
      </c>
    </row>
    <row r="421" spans="2:14" ht="45">
      <c r="B421" s="9" t="s">
        <v>1155</v>
      </c>
      <c r="C421" s="9" t="s">
        <v>1156</v>
      </c>
      <c r="D421" s="9" t="s">
        <v>1600</v>
      </c>
      <c r="E421" s="9" t="s">
        <v>1155</v>
      </c>
      <c r="F421" s="7" t="s">
        <v>2345</v>
      </c>
      <c r="G421" s="9" t="s">
        <v>1578</v>
      </c>
      <c r="H421" s="9" t="s">
        <v>1581</v>
      </c>
      <c r="I421" s="8">
        <v>9057019.1899999995</v>
      </c>
      <c r="J421" s="8">
        <v>3066042.2504076697</v>
      </c>
      <c r="K421" s="8">
        <v>0</v>
      </c>
      <c r="L421" s="8">
        <f t="shared" si="13"/>
        <v>3066042.2504076697</v>
      </c>
      <c r="M421" s="8">
        <v>2985193.52</v>
      </c>
      <c r="N421" s="8">
        <f t="shared" si="14"/>
        <v>-80848.730407669675</v>
      </c>
    </row>
    <row r="422" spans="2:14" ht="60">
      <c r="B422" s="9" t="s">
        <v>1158</v>
      </c>
      <c r="C422" s="9" t="s">
        <v>1159</v>
      </c>
      <c r="D422" s="9" t="s">
        <v>1599</v>
      </c>
      <c r="E422" s="9" t="s">
        <v>1158</v>
      </c>
      <c r="F422" s="7" t="s">
        <v>2491</v>
      </c>
      <c r="G422" s="9" t="s">
        <v>1582</v>
      </c>
      <c r="H422" s="9" t="s">
        <v>1581</v>
      </c>
      <c r="I422" s="8">
        <v>161158520.03999999</v>
      </c>
      <c r="J422" s="8">
        <v>9487342.8402366843</v>
      </c>
      <c r="K422" s="8">
        <v>0</v>
      </c>
      <c r="L422" s="8">
        <f t="shared" si="13"/>
        <v>9487342.8402366843</v>
      </c>
      <c r="M422" s="8">
        <v>16599327.560000001</v>
      </c>
      <c r="N422" s="8">
        <f t="shared" si="14"/>
        <v>7111984.7197633162</v>
      </c>
    </row>
    <row r="423" spans="2:14" ht="45">
      <c r="B423" s="9" t="s">
        <v>1370</v>
      </c>
      <c r="C423" s="9" t="s">
        <v>1371</v>
      </c>
      <c r="D423" s="9" t="s">
        <v>1598</v>
      </c>
      <c r="E423" s="9" t="s">
        <v>1370</v>
      </c>
      <c r="F423" s="7" t="s">
        <v>3730</v>
      </c>
      <c r="G423" s="9" t="s">
        <v>1582</v>
      </c>
      <c r="H423" s="9" t="s">
        <v>1581</v>
      </c>
      <c r="I423" s="8">
        <v>253215222.95000002</v>
      </c>
      <c r="J423" s="8">
        <v>16235481.4556213</v>
      </c>
      <c r="K423" s="8">
        <v>0</v>
      </c>
      <c r="L423" s="8">
        <f t="shared" si="13"/>
        <v>16235481.4556213</v>
      </c>
      <c r="M423" s="8">
        <v>25827952.75</v>
      </c>
      <c r="N423" s="8">
        <f t="shared" si="14"/>
        <v>9592471.2943786997</v>
      </c>
    </row>
    <row r="424" spans="2:14" ht="45">
      <c r="B424" s="9" t="s">
        <v>1295</v>
      </c>
      <c r="C424" s="9" t="s">
        <v>1296</v>
      </c>
      <c r="D424" s="9" t="s">
        <v>1597</v>
      </c>
      <c r="E424" s="9" t="s">
        <v>1295</v>
      </c>
      <c r="F424" s="7" t="s">
        <v>2698</v>
      </c>
      <c r="G424" s="9" t="s">
        <v>1582</v>
      </c>
      <c r="H424" s="9" t="s">
        <v>1581</v>
      </c>
      <c r="I424" s="8">
        <v>652373953.36000001</v>
      </c>
      <c r="J424" s="8">
        <v>41681057.644171789</v>
      </c>
      <c r="K424" s="8">
        <v>0</v>
      </c>
      <c r="L424" s="8">
        <f t="shared" si="13"/>
        <v>41681057.644171789</v>
      </c>
      <c r="M424" s="8">
        <v>80633420.629999995</v>
      </c>
      <c r="N424" s="8">
        <f t="shared" si="14"/>
        <v>38952362.985828206</v>
      </c>
    </row>
    <row r="425" spans="2:14" ht="60">
      <c r="B425" s="9" t="s">
        <v>1536</v>
      </c>
      <c r="C425" s="9" t="s">
        <v>1537</v>
      </c>
      <c r="D425" s="9" t="s">
        <v>1596</v>
      </c>
      <c r="E425" s="9" t="s">
        <v>1536</v>
      </c>
      <c r="F425" s="7" t="s">
        <v>2598</v>
      </c>
      <c r="G425" s="9" t="s">
        <v>1582</v>
      </c>
      <c r="H425" s="9" t="s">
        <v>1581</v>
      </c>
      <c r="I425" s="8">
        <v>51121.599999999999</v>
      </c>
      <c r="J425" s="6">
        <v>0.01</v>
      </c>
      <c r="K425" s="8">
        <v>0</v>
      </c>
      <c r="L425" s="8">
        <f t="shared" si="13"/>
        <v>0.01</v>
      </c>
      <c r="M425" s="8">
        <v>31368.21</v>
      </c>
      <c r="N425" s="8">
        <f t="shared" si="14"/>
        <v>31368.2</v>
      </c>
    </row>
    <row r="426" spans="2:14" ht="45">
      <c r="B426" s="9" t="s">
        <v>1557</v>
      </c>
      <c r="C426" s="9" t="s">
        <v>2013</v>
      </c>
      <c r="D426" s="9" t="s">
        <v>2012</v>
      </c>
      <c r="E426" s="9" t="s">
        <v>1557</v>
      </c>
      <c r="F426" s="7" t="s">
        <v>3731</v>
      </c>
      <c r="G426" s="9" t="s">
        <v>1582</v>
      </c>
      <c r="H426" s="9" t="s">
        <v>1581</v>
      </c>
      <c r="I426" s="8">
        <v>91882880.120000005</v>
      </c>
      <c r="J426" s="8">
        <v>4396180.4320987649</v>
      </c>
      <c r="K426" s="8">
        <v>0</v>
      </c>
      <c r="L426" s="8">
        <f t="shared" si="13"/>
        <v>4396180.4320987649</v>
      </c>
      <c r="M426" s="8">
        <v>9280170.8900000006</v>
      </c>
      <c r="N426" s="8">
        <f t="shared" si="14"/>
        <v>4883990.4579012357</v>
      </c>
    </row>
    <row r="427" spans="2:14" ht="75">
      <c r="B427" s="9" t="s">
        <v>481</v>
      </c>
      <c r="C427" s="9" t="s">
        <v>482</v>
      </c>
      <c r="D427" s="9" t="s">
        <v>1595</v>
      </c>
      <c r="E427" s="9" t="s">
        <v>481</v>
      </c>
      <c r="F427" s="7" t="s">
        <v>3732</v>
      </c>
      <c r="G427" s="9" t="s">
        <v>1582</v>
      </c>
      <c r="H427" s="9" t="s">
        <v>1581</v>
      </c>
      <c r="I427" s="8">
        <v>700525.27</v>
      </c>
      <c r="J427" s="8">
        <v>27241.863970588245</v>
      </c>
      <c r="K427" s="8">
        <v>0</v>
      </c>
      <c r="L427" s="8">
        <f t="shared" si="13"/>
        <v>27241.863970588245</v>
      </c>
      <c r="M427" s="8">
        <v>164343.23000000001</v>
      </c>
      <c r="N427" s="8">
        <f t="shared" si="14"/>
        <v>137101.36602941176</v>
      </c>
    </row>
    <row r="428" spans="2:14" ht="30">
      <c r="B428" s="9" t="s">
        <v>1168</v>
      </c>
      <c r="C428" s="9" t="s">
        <v>1169</v>
      </c>
      <c r="D428" s="9" t="s">
        <v>1590</v>
      </c>
      <c r="E428" s="9" t="s">
        <v>1168</v>
      </c>
      <c r="F428" s="7" t="s">
        <v>2272</v>
      </c>
      <c r="G428" s="9" t="s">
        <v>1582</v>
      </c>
      <c r="H428" s="9" t="s">
        <v>1581</v>
      </c>
      <c r="I428" s="8">
        <v>34608474.490000002</v>
      </c>
      <c r="J428" s="8">
        <v>1499503.625</v>
      </c>
      <c r="K428" s="8">
        <v>0</v>
      </c>
      <c r="L428" s="8">
        <f t="shared" si="13"/>
        <v>1499503.625</v>
      </c>
      <c r="M428" s="8">
        <v>4893638.29</v>
      </c>
      <c r="N428" s="8">
        <f t="shared" si="14"/>
        <v>3394134.665</v>
      </c>
    </row>
    <row r="429" spans="2:14" ht="60">
      <c r="B429" s="9" t="s">
        <v>1482</v>
      </c>
      <c r="C429" s="9" t="s">
        <v>1483</v>
      </c>
      <c r="D429" s="9" t="s">
        <v>2759</v>
      </c>
      <c r="E429" s="9" t="s">
        <v>1482</v>
      </c>
      <c r="F429" s="7" t="s">
        <v>2540</v>
      </c>
      <c r="G429" s="9" t="s">
        <v>1582</v>
      </c>
      <c r="H429" s="9" t="s">
        <v>1581</v>
      </c>
      <c r="I429" s="8">
        <v>185286.99</v>
      </c>
      <c r="J429" s="6">
        <v>0.01</v>
      </c>
      <c r="K429" s="8">
        <v>0</v>
      </c>
      <c r="L429" s="8">
        <f t="shared" si="13"/>
        <v>0.01</v>
      </c>
      <c r="M429" s="8">
        <v>24087.31</v>
      </c>
      <c r="N429" s="8">
        <f t="shared" si="14"/>
        <v>24087.300000000003</v>
      </c>
    </row>
    <row r="430" spans="2:14" ht="45">
      <c r="B430" s="9" t="s">
        <v>1547</v>
      </c>
      <c r="C430" s="9" t="s">
        <v>1548</v>
      </c>
      <c r="D430" s="9" t="s">
        <v>2760</v>
      </c>
      <c r="E430" s="9" t="s">
        <v>1547</v>
      </c>
      <c r="F430" s="7" t="s">
        <v>2487</v>
      </c>
      <c r="G430" s="9" t="s">
        <v>1582</v>
      </c>
      <c r="H430" s="9" t="s">
        <v>1581</v>
      </c>
      <c r="I430" s="8">
        <v>574351.26</v>
      </c>
      <c r="J430" s="8">
        <v>217469.52662721893</v>
      </c>
      <c r="K430" s="8">
        <v>0</v>
      </c>
      <c r="L430" s="8">
        <f t="shared" si="13"/>
        <v>217469.52662721893</v>
      </c>
      <c r="M430" s="8">
        <v>407789.39</v>
      </c>
      <c r="N430" s="8">
        <f t="shared" si="14"/>
        <v>190319.86337278108</v>
      </c>
    </row>
    <row r="431" spans="2:14" ht="60">
      <c r="B431" s="9" t="s">
        <v>620</v>
      </c>
      <c r="C431" s="9" t="s">
        <v>621</v>
      </c>
      <c r="D431" s="9" t="s">
        <v>1589</v>
      </c>
      <c r="E431" s="9" t="s">
        <v>620</v>
      </c>
      <c r="F431" s="7" t="s">
        <v>2338</v>
      </c>
      <c r="G431" s="9" t="s">
        <v>1578</v>
      </c>
      <c r="H431" s="9" t="s">
        <v>1581</v>
      </c>
      <c r="I431" s="8">
        <v>996835.6</v>
      </c>
      <c r="J431" s="8">
        <v>401918.7198282053</v>
      </c>
      <c r="K431" s="8">
        <v>0</v>
      </c>
      <c r="L431" s="8">
        <f t="shared" si="13"/>
        <v>401918.7198282053</v>
      </c>
      <c r="M431" s="8">
        <v>402721.58</v>
      </c>
      <c r="N431" s="8">
        <f t="shared" si="14"/>
        <v>802.86017179471673</v>
      </c>
    </row>
    <row r="432" spans="2:14" ht="75">
      <c r="B432" s="9" t="s">
        <v>1171</v>
      </c>
      <c r="C432" s="9" t="s">
        <v>1172</v>
      </c>
      <c r="D432" s="9" t="s">
        <v>1588</v>
      </c>
      <c r="E432" s="9" t="s">
        <v>1171</v>
      </c>
      <c r="F432" s="7" t="s">
        <v>2685</v>
      </c>
      <c r="G432" s="9" t="s">
        <v>1578</v>
      </c>
      <c r="H432" s="9" t="s">
        <v>1581</v>
      </c>
      <c r="I432" s="8">
        <v>760544.1</v>
      </c>
      <c r="J432" s="8">
        <v>235377.40837156976</v>
      </c>
      <c r="K432" s="8">
        <v>0</v>
      </c>
      <c r="L432" s="8">
        <f t="shared" si="13"/>
        <v>235377.40837156976</v>
      </c>
      <c r="M432" s="8">
        <v>168992.9</v>
      </c>
      <c r="N432" s="8">
        <f t="shared" si="14"/>
        <v>-66384.508371569769</v>
      </c>
    </row>
    <row r="433" spans="2:14" ht="60">
      <c r="B433" s="9" t="s">
        <v>491</v>
      </c>
      <c r="C433" s="9" t="s">
        <v>492</v>
      </c>
      <c r="D433" s="9" t="s">
        <v>1587</v>
      </c>
      <c r="E433" s="9" t="s">
        <v>491</v>
      </c>
      <c r="F433" s="7" t="s">
        <v>2326</v>
      </c>
      <c r="G433" s="9" t="s">
        <v>1578</v>
      </c>
      <c r="H433" s="9" t="s">
        <v>1577</v>
      </c>
      <c r="I433" s="8">
        <v>60084.35</v>
      </c>
      <c r="J433" s="8">
        <v>38128.09506489143</v>
      </c>
      <c r="K433" s="8">
        <v>0</v>
      </c>
      <c r="L433" s="8">
        <f t="shared" si="13"/>
        <v>38128.09506489143</v>
      </c>
      <c r="M433" s="8">
        <v>75249.64</v>
      </c>
      <c r="N433" s="8">
        <f t="shared" si="14"/>
        <v>37121.54493510857</v>
      </c>
    </row>
    <row r="434" spans="2:14" ht="30">
      <c r="B434" s="9" t="s">
        <v>1174</v>
      </c>
      <c r="C434" s="9" t="s">
        <v>1175</v>
      </c>
      <c r="D434" s="9" t="s">
        <v>1586</v>
      </c>
      <c r="E434" s="9" t="s">
        <v>1174</v>
      </c>
      <c r="F434" s="7" t="s">
        <v>1585</v>
      </c>
      <c r="G434" s="9" t="s">
        <v>1582</v>
      </c>
      <c r="H434" s="9" t="s">
        <v>1577</v>
      </c>
      <c r="I434" s="8">
        <v>55112</v>
      </c>
      <c r="J434" s="8">
        <v>23944.511907411175</v>
      </c>
      <c r="K434" s="8">
        <v>0</v>
      </c>
      <c r="L434" s="8">
        <f t="shared" si="13"/>
        <v>23944.511907411175</v>
      </c>
      <c r="M434" s="8">
        <v>32516.080000000002</v>
      </c>
      <c r="N434" s="8">
        <f t="shared" si="14"/>
        <v>8571.5680925888264</v>
      </c>
    </row>
    <row r="435" spans="2:14" ht="30">
      <c r="B435" s="9" t="s">
        <v>1183</v>
      </c>
      <c r="C435" s="9" t="s">
        <v>1184</v>
      </c>
      <c r="D435" s="9" t="s">
        <v>1580</v>
      </c>
      <c r="E435" s="9" t="s">
        <v>1183</v>
      </c>
      <c r="F435" s="7" t="s">
        <v>1579</v>
      </c>
      <c r="G435" s="9" t="s">
        <v>1578</v>
      </c>
      <c r="H435" s="9" t="s">
        <v>1577</v>
      </c>
      <c r="I435" s="8">
        <v>385946.8</v>
      </c>
      <c r="J435" s="8">
        <v>200094.40162379527</v>
      </c>
      <c r="K435" s="8">
        <v>0</v>
      </c>
      <c r="L435" s="8">
        <f t="shared" si="13"/>
        <v>200094.40162379527</v>
      </c>
      <c r="M435" s="8">
        <v>194787.35</v>
      </c>
      <c r="N435" s="8">
        <f t="shared" si="14"/>
        <v>-5307.0516237952688</v>
      </c>
    </row>
  </sheetData>
  <autoFilter ref="A6:N435" xr:uid="{6FAB7C4B-B8FD-4462-AC64-BA2A8E6C2E45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943A6-2326-4F95-9FAE-1975346B0A10}">
  <sheetPr>
    <tabColor theme="9" tint="0.59999389629810485"/>
  </sheetPr>
  <dimension ref="A1:M427"/>
  <sheetViews>
    <sheetView zoomScale="80" zoomScaleNormal="80" workbookViewId="0">
      <selection activeCell="I6" sqref="I6"/>
    </sheetView>
  </sheetViews>
  <sheetFormatPr defaultColWidth="9.09765625" defaultRowHeight="15"/>
  <cols>
    <col min="1" max="1" width="11.296875" style="9" customWidth="1"/>
    <col min="2" max="2" width="9.09765625" style="9"/>
    <col min="3" max="3" width="13.69921875" style="9" customWidth="1"/>
    <col min="4" max="4" width="9.09765625" style="9"/>
    <col min="5" max="5" width="10.5" style="9" customWidth="1"/>
    <col min="6" max="6" width="24.59765625" style="7" customWidth="1"/>
    <col min="7" max="8" width="9.09765625" style="9"/>
    <col min="9" max="10" width="17.8984375" style="9" bestFit="1" customWidth="1"/>
    <col min="11" max="11" width="16.19921875" style="9" bestFit="1" customWidth="1"/>
    <col min="12" max="12" width="15.09765625" style="9" customWidth="1"/>
    <col min="13" max="13" width="15.19921875" style="9" bestFit="1" customWidth="1"/>
    <col min="14" max="16384" width="9.09765625" style="9"/>
  </cols>
  <sheetData>
    <row r="1" spans="1:13">
      <c r="H1" s="9" t="s">
        <v>3634</v>
      </c>
      <c r="I1" s="201">
        <f>I2-I3</f>
        <v>0</v>
      </c>
      <c r="J1" s="201">
        <f>J2-J3</f>
        <v>0</v>
      </c>
    </row>
    <row r="2" spans="1:13">
      <c r="I2" s="202">
        <v>9978443402.4299984</v>
      </c>
      <c r="J2" s="202">
        <v>1028764859.0023407</v>
      </c>
    </row>
    <row r="3" spans="1:13">
      <c r="I3" s="203">
        <f>SUM(I7:I411)</f>
        <v>9978443402.4299984</v>
      </c>
      <c r="J3" s="203">
        <f>SUM(J7:J411)</f>
        <v>1028764859.0023407</v>
      </c>
    </row>
    <row r="5" spans="1:13" ht="90">
      <c r="A5" s="141" t="s">
        <v>3291</v>
      </c>
      <c r="B5" s="142"/>
      <c r="C5" s="141" t="s">
        <v>3292</v>
      </c>
      <c r="D5" s="141" t="s">
        <v>3293</v>
      </c>
      <c r="E5" s="141" t="s">
        <v>3294</v>
      </c>
      <c r="F5" s="141" t="s">
        <v>3295</v>
      </c>
      <c r="G5" s="141" t="s">
        <v>3296</v>
      </c>
      <c r="H5" s="141" t="s">
        <v>3297</v>
      </c>
      <c r="I5" s="141" t="s">
        <v>3298</v>
      </c>
      <c r="J5" s="141" t="s">
        <v>3299</v>
      </c>
      <c r="K5" s="141" t="s">
        <v>3301</v>
      </c>
      <c r="L5" s="141" t="s">
        <v>3302</v>
      </c>
      <c r="M5" s="141" t="s">
        <v>3303</v>
      </c>
    </row>
    <row r="6" spans="1:13" ht="60">
      <c r="A6" s="142"/>
      <c r="B6" s="141" t="s">
        <v>0</v>
      </c>
      <c r="C6" s="141" t="s">
        <v>1</v>
      </c>
      <c r="D6" s="141" t="s">
        <v>2851</v>
      </c>
      <c r="E6" s="141" t="s">
        <v>2808</v>
      </c>
      <c r="F6" s="141" t="s">
        <v>2716</v>
      </c>
      <c r="G6" s="141" t="s">
        <v>3304</v>
      </c>
      <c r="H6" s="141" t="s">
        <v>3305</v>
      </c>
      <c r="I6" s="141" t="s">
        <v>2859</v>
      </c>
      <c r="J6" s="141" t="s">
        <v>3306</v>
      </c>
      <c r="K6" s="141" t="s">
        <v>3308</v>
      </c>
      <c r="L6" s="141" t="s">
        <v>3309</v>
      </c>
      <c r="M6" s="141" t="s">
        <v>3310</v>
      </c>
    </row>
    <row r="7" spans="1:13">
      <c r="B7" s="9" t="s">
        <v>4</v>
      </c>
      <c r="C7" s="9">
        <v>1669732178</v>
      </c>
      <c r="D7" s="9" t="s">
        <v>2141</v>
      </c>
      <c r="E7" s="9" t="s">
        <v>4</v>
      </c>
      <c r="F7" s="7" t="s">
        <v>2140</v>
      </c>
      <c r="G7" s="9" t="s">
        <v>1582</v>
      </c>
      <c r="H7" s="9" t="s">
        <v>1581</v>
      </c>
      <c r="I7" s="202">
        <v>7410742.2699999996</v>
      </c>
      <c r="J7" s="202">
        <v>181942.0404411765</v>
      </c>
      <c r="K7" s="202">
        <f t="shared" ref="K7:K70" si="0">J7</f>
        <v>181942.0404411765</v>
      </c>
      <c r="L7" s="204">
        <v>952606.45</v>
      </c>
      <c r="M7" s="6">
        <f>L7-K7</f>
        <v>770664.40955882345</v>
      </c>
    </row>
    <row r="8" spans="1:13" ht="45">
      <c r="B8" s="9" t="s">
        <v>3266</v>
      </c>
      <c r="C8" s="9">
        <v>1649781915</v>
      </c>
      <c r="D8" s="9" t="s">
        <v>3267</v>
      </c>
      <c r="E8" s="9" t="s">
        <v>3266</v>
      </c>
      <c r="F8" s="7" t="s">
        <v>3733</v>
      </c>
      <c r="G8" s="9" t="s">
        <v>1582</v>
      </c>
      <c r="H8" s="9" t="s">
        <v>1581</v>
      </c>
      <c r="I8" s="202">
        <v>3509450.89</v>
      </c>
      <c r="J8" s="202">
        <v>512513.94999999995</v>
      </c>
      <c r="K8" s="202">
        <f t="shared" si="0"/>
        <v>512513.94999999995</v>
      </c>
      <c r="L8" s="204">
        <v>877713.67</v>
      </c>
      <c r="M8" s="6">
        <f t="shared" ref="M8:M71" si="1">L8-K8</f>
        <v>365199.72000000009</v>
      </c>
    </row>
    <row r="9" spans="1:13" ht="45">
      <c r="B9" s="9" t="s">
        <v>7</v>
      </c>
      <c r="C9" s="9">
        <v>1407169196</v>
      </c>
      <c r="D9" s="9" t="s">
        <v>2137</v>
      </c>
      <c r="E9" s="9" t="s">
        <v>7</v>
      </c>
      <c r="F9" s="7" t="s">
        <v>2273</v>
      </c>
      <c r="G9" s="9" t="s">
        <v>1582</v>
      </c>
      <c r="H9" s="9" t="s">
        <v>1581</v>
      </c>
      <c r="I9" s="202">
        <v>855896.8</v>
      </c>
      <c r="J9" s="202">
        <v>60400.35</v>
      </c>
      <c r="K9" s="202">
        <f t="shared" si="0"/>
        <v>60400.35</v>
      </c>
      <c r="L9" s="204">
        <v>338428.44</v>
      </c>
      <c r="M9" s="6">
        <f t="shared" si="1"/>
        <v>278028.09000000003</v>
      </c>
    </row>
    <row r="10" spans="1:13" ht="30">
      <c r="B10" s="9" t="s">
        <v>497</v>
      </c>
      <c r="C10" s="9">
        <v>1174563779</v>
      </c>
      <c r="D10" s="9" t="s">
        <v>2136</v>
      </c>
      <c r="E10" s="9" t="s">
        <v>497</v>
      </c>
      <c r="F10" s="7" t="s">
        <v>2135</v>
      </c>
      <c r="G10" s="9" t="s">
        <v>1578</v>
      </c>
      <c r="H10" s="9" t="s">
        <v>1581</v>
      </c>
      <c r="I10" s="202">
        <v>2308600.7999999998</v>
      </c>
      <c r="J10" s="202">
        <v>554686.71925000008</v>
      </c>
      <c r="K10" s="202">
        <f t="shared" si="0"/>
        <v>554686.71925000008</v>
      </c>
      <c r="L10" s="204">
        <v>648965</v>
      </c>
      <c r="M10" s="6">
        <f t="shared" si="1"/>
        <v>94278.280749999918</v>
      </c>
    </row>
    <row r="11" spans="1:13">
      <c r="B11" s="9" t="s">
        <v>10</v>
      </c>
      <c r="C11" s="9">
        <v>1457393571</v>
      </c>
      <c r="D11" s="9" t="s">
        <v>2134</v>
      </c>
      <c r="E11" s="9" t="s">
        <v>10</v>
      </c>
      <c r="F11" s="7" t="s">
        <v>2133</v>
      </c>
      <c r="G11" s="9" t="s">
        <v>1578</v>
      </c>
      <c r="H11" s="9" t="s">
        <v>1581</v>
      </c>
      <c r="I11" s="202">
        <v>391263.76</v>
      </c>
      <c r="J11" s="202">
        <v>97517.437249999988</v>
      </c>
      <c r="K11" s="202">
        <f t="shared" si="0"/>
        <v>97517.437249999988</v>
      </c>
      <c r="L11" s="204">
        <v>295094.26</v>
      </c>
      <c r="M11" s="6">
        <f t="shared" si="1"/>
        <v>197576.82275000002</v>
      </c>
    </row>
    <row r="12" spans="1:13">
      <c r="B12" s="9" t="s">
        <v>983</v>
      </c>
      <c r="C12" s="9">
        <v>1093708679</v>
      </c>
      <c r="D12" s="9" t="s">
        <v>1768</v>
      </c>
      <c r="E12" s="9" t="s">
        <v>983</v>
      </c>
      <c r="F12" s="7" t="s">
        <v>3636</v>
      </c>
      <c r="G12" s="9" t="s">
        <v>1582</v>
      </c>
      <c r="H12" s="9" t="s">
        <v>1581</v>
      </c>
      <c r="I12" s="202">
        <v>28314728.850000001</v>
      </c>
      <c r="J12" s="202">
        <v>1782288.8757396452</v>
      </c>
      <c r="K12" s="202">
        <f t="shared" si="0"/>
        <v>1782288.8757396452</v>
      </c>
      <c r="L12" s="204">
        <v>8979155.4900000002</v>
      </c>
      <c r="M12" s="6">
        <f t="shared" si="1"/>
        <v>7196866.614260355</v>
      </c>
    </row>
    <row r="13" spans="1:13" ht="45">
      <c r="B13" s="9" t="s">
        <v>3070</v>
      </c>
      <c r="C13" s="9">
        <v>1942795133</v>
      </c>
      <c r="D13" s="9" t="s">
        <v>3268</v>
      </c>
      <c r="E13" s="9" t="s">
        <v>3070</v>
      </c>
      <c r="F13" s="7" t="s">
        <v>3637</v>
      </c>
      <c r="G13" s="9" t="s">
        <v>1582</v>
      </c>
      <c r="H13" s="9" t="s">
        <v>1581</v>
      </c>
      <c r="I13" s="202">
        <v>5322549.79</v>
      </c>
      <c r="J13" s="202">
        <v>591317.17999999993</v>
      </c>
      <c r="K13" s="202">
        <f t="shared" si="0"/>
        <v>591317.17999999993</v>
      </c>
      <c r="L13" s="204">
        <v>943473.05</v>
      </c>
      <c r="M13" s="6">
        <f t="shared" si="1"/>
        <v>352155.87000000011</v>
      </c>
    </row>
    <row r="14" spans="1:13" ht="30">
      <c r="B14" s="9" t="s">
        <v>1031</v>
      </c>
      <c r="C14" s="9">
        <v>1619115383</v>
      </c>
      <c r="D14" s="9" t="s">
        <v>1730</v>
      </c>
      <c r="E14" s="9" t="s">
        <v>1031</v>
      </c>
      <c r="F14" s="7" t="s">
        <v>3638</v>
      </c>
      <c r="G14" s="9" t="s">
        <v>1582</v>
      </c>
      <c r="H14" s="9" t="s">
        <v>1581</v>
      </c>
      <c r="I14" s="202">
        <v>24257545.809999995</v>
      </c>
      <c r="J14" s="202">
        <v>1081708.6455696202</v>
      </c>
      <c r="K14" s="202">
        <f t="shared" si="0"/>
        <v>1081708.6455696202</v>
      </c>
      <c r="L14" s="204">
        <v>4249621.24</v>
      </c>
      <c r="M14" s="6">
        <f t="shared" si="1"/>
        <v>3167912.59443038</v>
      </c>
    </row>
    <row r="15" spans="1:13" ht="45">
      <c r="B15" s="9" t="s">
        <v>1727</v>
      </c>
      <c r="C15" s="9">
        <v>1154612638</v>
      </c>
      <c r="D15" s="9" t="s">
        <v>1728</v>
      </c>
      <c r="E15" s="9" t="s">
        <v>1727</v>
      </c>
      <c r="F15" s="7" t="s">
        <v>3639</v>
      </c>
      <c r="G15" s="9" t="s">
        <v>1582</v>
      </c>
      <c r="H15" s="9" t="s">
        <v>1581</v>
      </c>
      <c r="I15" s="202">
        <v>2521057.62</v>
      </c>
      <c r="J15" s="202">
        <v>251751.86075949366</v>
      </c>
      <c r="K15" s="202">
        <f t="shared" si="0"/>
        <v>251751.86075949366</v>
      </c>
      <c r="L15" s="204">
        <v>421024.69</v>
      </c>
      <c r="M15" s="6">
        <f t="shared" si="1"/>
        <v>169272.82924050634</v>
      </c>
    </row>
    <row r="16" spans="1:13" ht="45">
      <c r="B16" s="9" t="s">
        <v>389</v>
      </c>
      <c r="C16" s="9">
        <v>1750499273</v>
      </c>
      <c r="D16" s="9" t="s">
        <v>1733</v>
      </c>
      <c r="E16" s="9" t="s">
        <v>389</v>
      </c>
      <c r="F16" s="7" t="s">
        <v>3640</v>
      </c>
      <c r="G16" s="9" t="s">
        <v>1582</v>
      </c>
      <c r="H16" s="9" t="s">
        <v>1581</v>
      </c>
      <c r="I16" s="202">
        <v>3991729.5199999996</v>
      </c>
      <c r="J16" s="202">
        <v>162241.59493670883</v>
      </c>
      <c r="K16" s="202">
        <f t="shared" si="0"/>
        <v>162241.59493670883</v>
      </c>
      <c r="L16" s="204">
        <v>764227.8</v>
      </c>
      <c r="M16" s="6">
        <f t="shared" si="1"/>
        <v>601986.20506329124</v>
      </c>
    </row>
    <row r="17" spans="2:13">
      <c r="B17" s="9" t="s">
        <v>1402</v>
      </c>
      <c r="C17" s="9">
        <v>1114340080</v>
      </c>
      <c r="D17" s="9" t="s">
        <v>2129</v>
      </c>
      <c r="E17" s="9" t="s">
        <v>1402</v>
      </c>
      <c r="F17" s="7" t="s">
        <v>2128</v>
      </c>
      <c r="G17" s="9" t="s">
        <v>1582</v>
      </c>
      <c r="H17" s="9" t="s">
        <v>1581</v>
      </c>
      <c r="I17" s="202">
        <v>57760</v>
      </c>
      <c r="J17" s="202">
        <v>7206.4803493449781</v>
      </c>
      <c r="K17" s="202">
        <f t="shared" si="0"/>
        <v>7206.4803493449781</v>
      </c>
      <c r="L17" s="204">
        <v>20556.09</v>
      </c>
      <c r="M17" s="6">
        <f t="shared" si="1"/>
        <v>13349.609650655022</v>
      </c>
    </row>
    <row r="18" spans="2:13" ht="45">
      <c r="B18" s="9" t="s">
        <v>16</v>
      </c>
      <c r="C18" s="9">
        <v>1417465824</v>
      </c>
      <c r="D18" s="9" t="s">
        <v>2127</v>
      </c>
      <c r="E18" s="9" t="s">
        <v>16</v>
      </c>
      <c r="F18" s="7" t="s">
        <v>2403</v>
      </c>
      <c r="G18" s="9" t="s">
        <v>1582</v>
      </c>
      <c r="H18" s="9" t="s">
        <v>1581</v>
      </c>
      <c r="I18" s="202">
        <v>25016667.200000003</v>
      </c>
      <c r="J18" s="202">
        <v>1084430.1032608696</v>
      </c>
      <c r="K18" s="202">
        <f t="shared" si="0"/>
        <v>1084430.1032608696</v>
      </c>
      <c r="L18" s="204">
        <v>4994257.3899999997</v>
      </c>
      <c r="M18" s="6">
        <f t="shared" si="1"/>
        <v>3909827.28673913</v>
      </c>
    </row>
    <row r="19" spans="2:13" ht="60">
      <c r="B19" s="9" t="s">
        <v>22</v>
      </c>
      <c r="C19" s="9">
        <v>1245292630</v>
      </c>
      <c r="D19" s="9" t="s">
        <v>2125</v>
      </c>
      <c r="E19" s="9" t="s">
        <v>22</v>
      </c>
      <c r="F19" s="7" t="s">
        <v>2228</v>
      </c>
      <c r="G19" s="9" t="s">
        <v>1582</v>
      </c>
      <c r="H19" s="9" t="s">
        <v>1581</v>
      </c>
      <c r="I19" s="202">
        <v>194310.7</v>
      </c>
      <c r="J19" s="202">
        <v>735.73417721519036</v>
      </c>
      <c r="K19" s="202">
        <f t="shared" si="0"/>
        <v>735.73417721519036</v>
      </c>
      <c r="L19" s="204">
        <v>70087.87</v>
      </c>
      <c r="M19" s="6">
        <f t="shared" si="1"/>
        <v>69352.13582278481</v>
      </c>
    </row>
    <row r="20" spans="2:13" ht="60">
      <c r="B20" s="9" t="s">
        <v>500</v>
      </c>
      <c r="C20" s="9">
        <v>1225038938</v>
      </c>
      <c r="D20" s="9" t="s">
        <v>2124</v>
      </c>
      <c r="E20" s="9" t="s">
        <v>500</v>
      </c>
      <c r="F20" s="7" t="s">
        <v>3642</v>
      </c>
      <c r="G20" s="9" t="s">
        <v>1578</v>
      </c>
      <c r="H20" s="9" t="s">
        <v>1577</v>
      </c>
      <c r="I20" s="202">
        <v>725308.45</v>
      </c>
      <c r="J20" s="202">
        <v>99220.773999999976</v>
      </c>
      <c r="K20" s="202">
        <f t="shared" si="0"/>
        <v>99220.773999999976</v>
      </c>
      <c r="L20" s="204">
        <v>127550.43</v>
      </c>
      <c r="M20" s="6">
        <f t="shared" si="1"/>
        <v>28329.656000000017</v>
      </c>
    </row>
    <row r="21" spans="2:13" ht="75">
      <c r="B21" s="9" t="s">
        <v>503</v>
      </c>
      <c r="C21" s="9">
        <v>1093744187</v>
      </c>
      <c r="D21" s="9" t="s">
        <v>2122</v>
      </c>
      <c r="E21" s="9" t="s">
        <v>503</v>
      </c>
      <c r="F21" s="7" t="s">
        <v>2477</v>
      </c>
      <c r="G21" s="9" t="s">
        <v>1582</v>
      </c>
      <c r="H21" s="9" t="s">
        <v>1581</v>
      </c>
      <c r="I21" s="202">
        <v>78498518.799999997</v>
      </c>
      <c r="J21" s="202">
        <v>2973998.4890829688</v>
      </c>
      <c r="K21" s="202">
        <f t="shared" si="0"/>
        <v>2973998.4890829688</v>
      </c>
      <c r="L21" s="204">
        <v>15159286.99</v>
      </c>
      <c r="M21" s="6">
        <f t="shared" si="1"/>
        <v>12185288.500917032</v>
      </c>
    </row>
    <row r="22" spans="2:13" ht="45">
      <c r="B22" s="9" t="s">
        <v>506</v>
      </c>
      <c r="C22" s="9">
        <v>1508810573</v>
      </c>
      <c r="D22" s="9" t="s">
        <v>2120</v>
      </c>
      <c r="E22" s="9" t="s">
        <v>506</v>
      </c>
      <c r="F22" s="7" t="s">
        <v>3643</v>
      </c>
      <c r="G22" s="9" t="s">
        <v>1582</v>
      </c>
      <c r="H22" s="9" t="s">
        <v>1581</v>
      </c>
      <c r="I22" s="202">
        <v>104505837.27</v>
      </c>
      <c r="J22" s="202">
        <v>2895999.111111111</v>
      </c>
      <c r="K22" s="202">
        <f t="shared" si="0"/>
        <v>2895999.111111111</v>
      </c>
      <c r="L22" s="204">
        <v>10855554.289999999</v>
      </c>
      <c r="M22" s="6">
        <f t="shared" si="1"/>
        <v>7959555.1788888881</v>
      </c>
    </row>
    <row r="23" spans="2:13" ht="75">
      <c r="B23" s="9" t="s">
        <v>509</v>
      </c>
      <c r="C23" s="9">
        <v>1669472387</v>
      </c>
      <c r="D23" s="9" t="s">
        <v>2119</v>
      </c>
      <c r="E23" s="9" t="s">
        <v>509</v>
      </c>
      <c r="F23" s="7" t="s">
        <v>511</v>
      </c>
      <c r="G23" s="9" t="s">
        <v>1582</v>
      </c>
      <c r="H23" s="9" t="s">
        <v>1581</v>
      </c>
      <c r="I23" s="202">
        <v>19247875.640000001</v>
      </c>
      <c r="J23" s="202">
        <v>1264923.1937500001</v>
      </c>
      <c r="K23" s="202">
        <f t="shared" si="0"/>
        <v>1264923.1937500001</v>
      </c>
      <c r="L23" s="204">
        <v>6093155.6299999999</v>
      </c>
      <c r="M23" s="6">
        <f t="shared" si="1"/>
        <v>4828232.4362499993</v>
      </c>
    </row>
    <row r="24" spans="2:13" ht="45">
      <c r="B24" s="9" t="s">
        <v>512</v>
      </c>
      <c r="C24" s="9">
        <v>1194893263</v>
      </c>
      <c r="D24" s="9" t="s">
        <v>2118</v>
      </c>
      <c r="E24" s="9" t="s">
        <v>512</v>
      </c>
      <c r="F24" s="7" t="s">
        <v>2342</v>
      </c>
      <c r="G24" s="9" t="s">
        <v>1578</v>
      </c>
      <c r="H24" s="9" t="s">
        <v>1581</v>
      </c>
      <c r="I24" s="202">
        <v>408620.07999999996</v>
      </c>
      <c r="J24" s="202">
        <v>115718.54049999999</v>
      </c>
      <c r="K24" s="202">
        <f t="shared" si="0"/>
        <v>115718.54049999999</v>
      </c>
      <c r="L24" s="204">
        <v>178052.77</v>
      </c>
      <c r="M24" s="6">
        <f t="shared" si="1"/>
        <v>62334.229500000001</v>
      </c>
    </row>
    <row r="25" spans="2:13" ht="30">
      <c r="B25" s="9" t="s">
        <v>25</v>
      </c>
      <c r="C25" s="9">
        <v>1609855139</v>
      </c>
      <c r="D25" s="9" t="s">
        <v>2117</v>
      </c>
      <c r="E25" s="9" t="s">
        <v>25</v>
      </c>
      <c r="F25" s="7" t="s">
        <v>2116</v>
      </c>
      <c r="G25" s="9" t="s">
        <v>1582</v>
      </c>
      <c r="H25" s="9" t="s">
        <v>1581</v>
      </c>
      <c r="I25" s="202">
        <v>1472308.7999999998</v>
      </c>
      <c r="J25" s="202">
        <v>42267.475903614453</v>
      </c>
      <c r="K25" s="202">
        <f t="shared" si="0"/>
        <v>42267.475903614453</v>
      </c>
      <c r="L25" s="204">
        <v>472236.56</v>
      </c>
      <c r="M25" s="6">
        <f t="shared" si="1"/>
        <v>429969.08409638552</v>
      </c>
    </row>
    <row r="26" spans="2:13" ht="45">
      <c r="B26" s="9" t="s">
        <v>1367</v>
      </c>
      <c r="C26" s="9">
        <v>1285930891</v>
      </c>
      <c r="D26" s="9" t="s">
        <v>2719</v>
      </c>
      <c r="E26" s="9" t="s">
        <v>1367</v>
      </c>
      <c r="F26" s="7" t="s">
        <v>2720</v>
      </c>
      <c r="G26" s="9" t="s">
        <v>1582</v>
      </c>
      <c r="H26" s="9" t="s">
        <v>1581</v>
      </c>
      <c r="I26" s="202">
        <v>15593.17</v>
      </c>
      <c r="J26" s="202">
        <v>5999.5609492614958</v>
      </c>
      <c r="K26" s="202">
        <f t="shared" si="0"/>
        <v>5999.5609492614958</v>
      </c>
      <c r="L26" s="204">
        <v>6305.11</v>
      </c>
      <c r="M26" s="6">
        <f t="shared" si="1"/>
        <v>305.54905073850387</v>
      </c>
    </row>
    <row r="27" spans="2:13" ht="75">
      <c r="B27" s="9" t="s">
        <v>34</v>
      </c>
      <c r="C27" s="9">
        <v>1124305065</v>
      </c>
      <c r="D27" s="9" t="s">
        <v>2111</v>
      </c>
      <c r="E27" s="9" t="s">
        <v>34</v>
      </c>
      <c r="F27" s="7" t="s">
        <v>2665</v>
      </c>
      <c r="G27" s="9" t="s">
        <v>1582</v>
      </c>
      <c r="H27" s="9" t="s">
        <v>1581</v>
      </c>
      <c r="I27" s="202">
        <v>7252320.5600000005</v>
      </c>
      <c r="J27" s="202">
        <v>441624.27710843371</v>
      </c>
      <c r="K27" s="202">
        <f t="shared" si="0"/>
        <v>441624.27710843371</v>
      </c>
      <c r="L27" s="204">
        <v>2053413.34</v>
      </c>
      <c r="M27" s="6">
        <f t="shared" si="1"/>
        <v>1611789.0628915664</v>
      </c>
    </row>
    <row r="28" spans="2:13" ht="45">
      <c r="B28" s="9" t="s">
        <v>37</v>
      </c>
      <c r="C28" s="9">
        <v>1801826839</v>
      </c>
      <c r="D28" s="9" t="s">
        <v>1674</v>
      </c>
      <c r="E28" s="9" t="s">
        <v>37</v>
      </c>
      <c r="F28" s="7" t="s">
        <v>3644</v>
      </c>
      <c r="G28" s="9" t="s">
        <v>1582</v>
      </c>
      <c r="H28" s="9" t="s">
        <v>1581</v>
      </c>
      <c r="I28" s="202">
        <v>2506803.7199999997</v>
      </c>
      <c r="J28" s="202">
        <v>168362.24096385541</v>
      </c>
      <c r="K28" s="202">
        <f t="shared" si="0"/>
        <v>168362.24096385541</v>
      </c>
      <c r="L28" s="204">
        <v>720595.77</v>
      </c>
      <c r="M28" s="6">
        <f t="shared" si="1"/>
        <v>552233.52903614461</v>
      </c>
    </row>
    <row r="29" spans="2:13" ht="75">
      <c r="B29" s="9" t="s">
        <v>2724</v>
      </c>
      <c r="C29" s="9">
        <v>1144781501</v>
      </c>
      <c r="D29" s="9" t="s">
        <v>2726</v>
      </c>
      <c r="E29" s="9" t="s">
        <v>2724</v>
      </c>
      <c r="F29" s="7" t="s">
        <v>3645</v>
      </c>
      <c r="G29" s="9" t="s">
        <v>1582</v>
      </c>
      <c r="H29" s="9" t="s">
        <v>1581</v>
      </c>
      <c r="I29" s="202">
        <v>1385895.8699999999</v>
      </c>
      <c r="J29" s="202">
        <v>308541.97215189872</v>
      </c>
      <c r="K29" s="202">
        <f t="shared" si="0"/>
        <v>308541.97215189872</v>
      </c>
      <c r="L29" s="204">
        <v>345362.34</v>
      </c>
      <c r="M29" s="6">
        <f t="shared" si="1"/>
        <v>36820.367848101305</v>
      </c>
    </row>
    <row r="30" spans="2:13" ht="75">
      <c r="B30" s="9" t="s">
        <v>1473</v>
      </c>
      <c r="C30" s="9">
        <v>1346729159</v>
      </c>
      <c r="D30" s="9" t="s">
        <v>2727</v>
      </c>
      <c r="E30" s="9" t="s">
        <v>1473</v>
      </c>
      <c r="F30" s="7" t="s">
        <v>1475</v>
      </c>
      <c r="G30" s="9" t="s">
        <v>1582</v>
      </c>
      <c r="H30" s="9" t="s">
        <v>1581</v>
      </c>
      <c r="I30" s="202">
        <v>2003433.4699999997</v>
      </c>
      <c r="J30" s="202">
        <v>184084.15822784806</v>
      </c>
      <c r="K30" s="202">
        <f t="shared" si="0"/>
        <v>184084.15822784806</v>
      </c>
      <c r="L30" s="204">
        <v>565006.71</v>
      </c>
      <c r="M30" s="6">
        <f t="shared" si="1"/>
        <v>380922.5517721519</v>
      </c>
    </row>
    <row r="31" spans="2:13" ht="45">
      <c r="B31" s="9" t="s">
        <v>935</v>
      </c>
      <c r="C31" s="9">
        <v>1073511762</v>
      </c>
      <c r="D31" s="9" t="s">
        <v>2115</v>
      </c>
      <c r="E31" s="9" t="s">
        <v>935</v>
      </c>
      <c r="F31" s="7" t="s">
        <v>3646</v>
      </c>
      <c r="G31" s="9" t="s">
        <v>1582</v>
      </c>
      <c r="H31" s="9" t="s">
        <v>1581</v>
      </c>
      <c r="I31" s="202">
        <v>3874737.6499999994</v>
      </c>
      <c r="J31" s="202">
        <v>168038.63750000001</v>
      </c>
      <c r="K31" s="202">
        <f t="shared" si="0"/>
        <v>168038.63750000001</v>
      </c>
      <c r="L31" s="204">
        <v>1115554.02</v>
      </c>
      <c r="M31" s="6">
        <f t="shared" si="1"/>
        <v>947515.38250000007</v>
      </c>
    </row>
    <row r="32" spans="2:13" ht="30">
      <c r="B32" s="9" t="s">
        <v>31</v>
      </c>
      <c r="C32" s="9">
        <v>1992700983</v>
      </c>
      <c r="D32" s="9" t="s">
        <v>2114</v>
      </c>
      <c r="E32" s="9" t="s">
        <v>31</v>
      </c>
      <c r="F32" s="7" t="s">
        <v>3647</v>
      </c>
      <c r="G32" s="9" t="s">
        <v>1582</v>
      </c>
      <c r="H32" s="9" t="s">
        <v>1581</v>
      </c>
      <c r="I32" s="202">
        <v>20325594.780000001</v>
      </c>
      <c r="J32" s="202">
        <v>1062245.2831325301</v>
      </c>
      <c r="K32" s="202">
        <f t="shared" si="0"/>
        <v>1062245.2831325301</v>
      </c>
      <c r="L32" s="204">
        <v>5826559.3899999997</v>
      </c>
      <c r="M32" s="6">
        <f t="shared" si="1"/>
        <v>4764314.1068674698</v>
      </c>
    </row>
    <row r="33" spans="2:13" ht="30">
      <c r="B33" s="9" t="s">
        <v>521</v>
      </c>
      <c r="C33" s="9">
        <v>1649273434</v>
      </c>
      <c r="D33" s="9" t="s">
        <v>2110</v>
      </c>
      <c r="E33" s="9" t="s">
        <v>521</v>
      </c>
      <c r="F33" s="7" t="s">
        <v>3648</v>
      </c>
      <c r="G33" s="9" t="s">
        <v>1582</v>
      </c>
      <c r="H33" s="9" t="s">
        <v>1581</v>
      </c>
      <c r="I33" s="202">
        <v>2640736.9900000002</v>
      </c>
      <c r="J33" s="202">
        <v>124458.9156626506</v>
      </c>
      <c r="K33" s="202">
        <f t="shared" si="0"/>
        <v>124458.9156626506</v>
      </c>
      <c r="L33" s="204">
        <v>836585.48</v>
      </c>
      <c r="M33" s="6">
        <f t="shared" si="1"/>
        <v>712126.56433734938</v>
      </c>
    </row>
    <row r="34" spans="2:13" ht="45">
      <c r="B34" s="9" t="s">
        <v>518</v>
      </c>
      <c r="C34" s="9">
        <v>1265430177</v>
      </c>
      <c r="D34" s="9" t="s">
        <v>2113</v>
      </c>
      <c r="E34" s="9" t="s">
        <v>518</v>
      </c>
      <c r="F34" s="7" t="s">
        <v>3649</v>
      </c>
      <c r="G34" s="9" t="s">
        <v>1582</v>
      </c>
      <c r="H34" s="9" t="s">
        <v>1581</v>
      </c>
      <c r="I34" s="202">
        <v>14097142.360000003</v>
      </c>
      <c r="J34" s="202">
        <v>1185158.8493975904</v>
      </c>
      <c r="K34" s="202">
        <f t="shared" si="0"/>
        <v>1185158.8493975904</v>
      </c>
      <c r="L34" s="204">
        <v>4544963.8099999996</v>
      </c>
      <c r="M34" s="6">
        <f t="shared" si="1"/>
        <v>3359804.9606024092</v>
      </c>
    </row>
    <row r="35" spans="2:13" ht="75">
      <c r="B35" s="9" t="s">
        <v>2721</v>
      </c>
      <c r="C35" s="9">
        <v>1902366305</v>
      </c>
      <c r="D35" s="9" t="s">
        <v>2723</v>
      </c>
      <c r="E35" s="9" t="s">
        <v>2721</v>
      </c>
      <c r="F35" s="7" t="s">
        <v>3650</v>
      </c>
      <c r="G35" s="9" t="s">
        <v>1582</v>
      </c>
      <c r="H35" s="9" t="s">
        <v>1581</v>
      </c>
      <c r="I35" s="202">
        <v>613172.4</v>
      </c>
      <c r="J35" s="202">
        <v>122851.9587341772</v>
      </c>
      <c r="K35" s="202">
        <f t="shared" si="0"/>
        <v>122851.9587341772</v>
      </c>
      <c r="L35" s="204">
        <v>160405.9</v>
      </c>
      <c r="M35" s="6">
        <f t="shared" si="1"/>
        <v>37553.941265822796</v>
      </c>
    </row>
    <row r="36" spans="2:13" ht="30">
      <c r="B36" s="9" t="s">
        <v>524</v>
      </c>
      <c r="C36" s="9">
        <v>1447250253</v>
      </c>
      <c r="D36" s="9" t="s">
        <v>2109</v>
      </c>
      <c r="E36" s="9" t="s">
        <v>524</v>
      </c>
      <c r="F36" s="7" t="s">
        <v>2108</v>
      </c>
      <c r="G36" s="9" t="s">
        <v>1582</v>
      </c>
      <c r="H36" s="9" t="s">
        <v>1581</v>
      </c>
      <c r="I36" s="202">
        <v>29098300.77</v>
      </c>
      <c r="J36" s="202">
        <v>2493004.5240963851</v>
      </c>
      <c r="K36" s="202">
        <f t="shared" si="0"/>
        <v>2493004.5240963851</v>
      </c>
      <c r="L36" s="204">
        <v>9402487.3699999992</v>
      </c>
      <c r="M36" s="6">
        <f t="shared" si="1"/>
        <v>6909482.8459036145</v>
      </c>
    </row>
    <row r="37" spans="2:13" ht="60">
      <c r="B37" s="9" t="s">
        <v>3270</v>
      </c>
      <c r="C37" s="9">
        <v>1457820995</v>
      </c>
      <c r="D37" s="9" t="s">
        <v>2171</v>
      </c>
      <c r="E37" s="9" t="s">
        <v>3270</v>
      </c>
      <c r="F37" s="7" t="s">
        <v>3651</v>
      </c>
      <c r="G37" s="9" t="s">
        <v>1582</v>
      </c>
      <c r="H37" s="9" t="s">
        <v>1581</v>
      </c>
      <c r="I37" s="202">
        <v>12293302.07</v>
      </c>
      <c r="J37" s="202">
        <v>1225027.3212121213</v>
      </c>
      <c r="K37" s="202">
        <f t="shared" si="0"/>
        <v>1225027.3212121213</v>
      </c>
      <c r="L37" s="204">
        <v>1612192.81</v>
      </c>
      <c r="M37" s="6">
        <f t="shared" si="1"/>
        <v>387165.48878787877</v>
      </c>
    </row>
    <row r="38" spans="2:13" ht="30">
      <c r="B38" s="9" t="s">
        <v>530</v>
      </c>
      <c r="C38" s="9">
        <v>1477857332</v>
      </c>
      <c r="D38" s="9" t="s">
        <v>2106</v>
      </c>
      <c r="E38" s="9" t="s">
        <v>530</v>
      </c>
      <c r="F38" s="7" t="s">
        <v>3652</v>
      </c>
      <c r="G38" s="9" t="s">
        <v>1578</v>
      </c>
      <c r="H38" s="9" t="s">
        <v>1581</v>
      </c>
      <c r="I38" s="202">
        <v>1600321.01</v>
      </c>
      <c r="J38" s="202">
        <v>326128.87722543348</v>
      </c>
      <c r="K38" s="202">
        <f t="shared" si="0"/>
        <v>326128.87722543348</v>
      </c>
      <c r="L38" s="204">
        <v>679586.56</v>
      </c>
      <c r="M38" s="6">
        <f t="shared" si="1"/>
        <v>353457.68277456658</v>
      </c>
    </row>
    <row r="39" spans="2:13" ht="45">
      <c r="B39" s="9" t="s">
        <v>1203</v>
      </c>
      <c r="C39" s="9">
        <v>1821011248</v>
      </c>
      <c r="D39" s="9" t="s">
        <v>2105</v>
      </c>
      <c r="E39" s="9" t="s">
        <v>1203</v>
      </c>
      <c r="F39" s="7" t="s">
        <v>2684</v>
      </c>
      <c r="G39" s="9" t="s">
        <v>1578</v>
      </c>
      <c r="H39" s="9" t="s">
        <v>1581</v>
      </c>
      <c r="I39" s="202">
        <v>151773104.07999998</v>
      </c>
      <c r="J39" s="202">
        <v>24637234.421428576</v>
      </c>
      <c r="K39" s="202">
        <f t="shared" si="0"/>
        <v>24637234.421428576</v>
      </c>
      <c r="L39" s="204">
        <v>45774768.189999998</v>
      </c>
      <c r="M39" s="6">
        <f t="shared" si="1"/>
        <v>21137533.768571422</v>
      </c>
    </row>
    <row r="40" spans="2:13" ht="30">
      <c r="B40" s="9" t="s">
        <v>533</v>
      </c>
      <c r="C40" s="9">
        <v>1356312243</v>
      </c>
      <c r="D40" s="9" t="s">
        <v>2104</v>
      </c>
      <c r="E40" s="9" t="s">
        <v>533</v>
      </c>
      <c r="F40" s="7" t="s">
        <v>2103</v>
      </c>
      <c r="G40" s="9" t="s">
        <v>1582</v>
      </c>
      <c r="H40" s="9" t="s">
        <v>1577</v>
      </c>
      <c r="I40" s="202">
        <v>2523062.2400000002</v>
      </c>
      <c r="J40" s="202">
        <v>139209.86394557822</v>
      </c>
      <c r="K40" s="202">
        <f t="shared" si="0"/>
        <v>139209.86394557822</v>
      </c>
      <c r="L40" s="204">
        <v>292646.21000000002</v>
      </c>
      <c r="M40" s="6">
        <f t="shared" si="1"/>
        <v>153436.3460544218</v>
      </c>
    </row>
    <row r="41" spans="2:13" ht="45">
      <c r="B41" s="9" t="s">
        <v>1373</v>
      </c>
      <c r="C41" s="9">
        <v>1538465901</v>
      </c>
      <c r="D41" s="9" t="s">
        <v>2102</v>
      </c>
      <c r="E41" s="9" t="s">
        <v>1373</v>
      </c>
      <c r="F41" s="7" t="s">
        <v>2648</v>
      </c>
      <c r="G41" s="9" t="s">
        <v>1582</v>
      </c>
      <c r="H41" s="9" t="s">
        <v>1581</v>
      </c>
      <c r="I41" s="202">
        <v>349218.53</v>
      </c>
      <c r="J41" s="202">
        <v>110344.54819277108</v>
      </c>
      <c r="K41" s="202">
        <f t="shared" si="0"/>
        <v>110344.54819277108</v>
      </c>
      <c r="L41" s="204">
        <v>184947.25</v>
      </c>
      <c r="M41" s="6">
        <f t="shared" si="1"/>
        <v>74602.701807228921</v>
      </c>
    </row>
    <row r="42" spans="2:13" ht="45">
      <c r="B42" s="9" t="s">
        <v>1385</v>
      </c>
      <c r="C42" s="9">
        <v>1851889463</v>
      </c>
      <c r="D42" s="9" t="s">
        <v>2728</v>
      </c>
      <c r="E42" s="9" t="s">
        <v>1385</v>
      </c>
      <c r="F42" s="7" t="s">
        <v>1386</v>
      </c>
      <c r="G42" s="9" t="s">
        <v>1582</v>
      </c>
      <c r="H42" s="9" t="s">
        <v>1581</v>
      </c>
      <c r="I42" s="202">
        <v>854.08</v>
      </c>
      <c r="J42" s="202">
        <v>0.01</v>
      </c>
      <c r="K42" s="202">
        <f t="shared" si="0"/>
        <v>0.01</v>
      </c>
      <c r="L42" s="204">
        <v>277.20999999999998</v>
      </c>
      <c r="M42" s="6">
        <f t="shared" si="1"/>
        <v>277.2</v>
      </c>
    </row>
    <row r="43" spans="2:13" ht="45">
      <c r="B43" s="9" t="s">
        <v>40</v>
      </c>
      <c r="C43" s="9">
        <v>1104383371</v>
      </c>
      <c r="D43" s="9" t="s">
        <v>1972</v>
      </c>
      <c r="E43" s="9" t="s">
        <v>40</v>
      </c>
      <c r="F43" s="7" t="s">
        <v>3159</v>
      </c>
      <c r="G43" s="9" t="s">
        <v>1578</v>
      </c>
      <c r="H43" s="9" t="s">
        <v>1577</v>
      </c>
      <c r="I43" s="202">
        <v>1457878.74</v>
      </c>
      <c r="J43" s="202">
        <v>240396.01854304632</v>
      </c>
      <c r="K43" s="202">
        <f t="shared" si="0"/>
        <v>240396.01854304632</v>
      </c>
      <c r="L43" s="204">
        <v>339831.54</v>
      </c>
      <c r="M43" s="6">
        <f t="shared" si="1"/>
        <v>99435.521456953662</v>
      </c>
    </row>
    <row r="44" spans="2:13" ht="75">
      <c r="B44" s="9" t="s">
        <v>43</v>
      </c>
      <c r="C44" s="9">
        <v>1801817135</v>
      </c>
      <c r="D44" s="9" t="s">
        <v>2182</v>
      </c>
      <c r="E44" s="9" t="s">
        <v>43</v>
      </c>
      <c r="F44" s="7" t="s">
        <v>2435</v>
      </c>
      <c r="G44" s="9" t="s">
        <v>1582</v>
      </c>
      <c r="H44" s="9" t="s">
        <v>1581</v>
      </c>
      <c r="I44" s="202">
        <v>19920.210000000003</v>
      </c>
      <c r="J44" s="202">
        <v>69.071005917159823</v>
      </c>
      <c r="K44" s="202">
        <f t="shared" si="0"/>
        <v>69.071005917159823</v>
      </c>
      <c r="L44" s="204">
        <v>7661.31</v>
      </c>
      <c r="M44" s="6">
        <f t="shared" si="1"/>
        <v>7592.2389940828407</v>
      </c>
    </row>
    <row r="45" spans="2:13" ht="45">
      <c r="B45" s="9" t="s">
        <v>536</v>
      </c>
      <c r="C45" s="9">
        <v>1114903523</v>
      </c>
      <c r="D45" s="9" t="s">
        <v>2101</v>
      </c>
      <c r="E45" s="9" t="s">
        <v>536</v>
      </c>
      <c r="F45" s="7" t="s">
        <v>2410</v>
      </c>
      <c r="G45" s="9" t="s">
        <v>1582</v>
      </c>
      <c r="H45" s="9" t="s">
        <v>1581</v>
      </c>
      <c r="I45" s="202">
        <v>8035054.0800000001</v>
      </c>
      <c r="J45" s="202">
        <v>394386.15217391308</v>
      </c>
      <c r="K45" s="202">
        <f t="shared" si="0"/>
        <v>394386.15217391308</v>
      </c>
      <c r="L45" s="204">
        <v>1737982.2</v>
      </c>
      <c r="M45" s="6">
        <f t="shared" si="1"/>
        <v>1343596.0478260869</v>
      </c>
    </row>
    <row r="46" spans="2:13" ht="45">
      <c r="B46" s="9" t="s">
        <v>46</v>
      </c>
      <c r="C46" s="9">
        <v>1407191984</v>
      </c>
      <c r="D46" s="9" t="s">
        <v>2121</v>
      </c>
      <c r="E46" s="9" t="s">
        <v>46</v>
      </c>
      <c r="F46" s="7" t="s">
        <v>2459</v>
      </c>
      <c r="G46" s="9" t="s">
        <v>1582</v>
      </c>
      <c r="H46" s="9" t="s">
        <v>1581</v>
      </c>
      <c r="I46" s="202">
        <v>35537611.039999999</v>
      </c>
      <c r="J46" s="202">
        <v>3060369.5749999997</v>
      </c>
      <c r="K46" s="202">
        <f t="shared" si="0"/>
        <v>3060369.5749999997</v>
      </c>
      <c r="L46" s="204">
        <v>8852418.9100000001</v>
      </c>
      <c r="M46" s="6">
        <f t="shared" si="1"/>
        <v>5792049.3350000009</v>
      </c>
    </row>
    <row r="47" spans="2:13" ht="45">
      <c r="B47" s="9" t="s">
        <v>542</v>
      </c>
      <c r="C47" s="9">
        <v>1750377289</v>
      </c>
      <c r="D47" s="9" t="s">
        <v>2098</v>
      </c>
      <c r="E47" s="9" t="s">
        <v>542</v>
      </c>
      <c r="F47" s="7" t="s">
        <v>2424</v>
      </c>
      <c r="G47" s="9" t="s">
        <v>1582</v>
      </c>
      <c r="H47" s="9" t="s">
        <v>1577</v>
      </c>
      <c r="I47" s="202">
        <v>2582338.41</v>
      </c>
      <c r="J47" s="202">
        <v>331324.44688741723</v>
      </c>
      <c r="K47" s="202">
        <f t="shared" si="0"/>
        <v>331324.44688741723</v>
      </c>
      <c r="L47" s="204">
        <v>311940.28000000003</v>
      </c>
      <c r="M47" s="6">
        <f t="shared" si="1"/>
        <v>-19384.166887417203</v>
      </c>
    </row>
    <row r="48" spans="2:13" ht="30">
      <c r="B48" s="9" t="s">
        <v>545</v>
      </c>
      <c r="C48" s="9">
        <v>1205164928</v>
      </c>
      <c r="D48" s="9" t="s">
        <v>2097</v>
      </c>
      <c r="E48" s="9" t="s">
        <v>545</v>
      </c>
      <c r="F48" s="7" t="s">
        <v>2429</v>
      </c>
      <c r="G48" s="9" t="s">
        <v>1582</v>
      </c>
      <c r="H48" s="9" t="s">
        <v>1577</v>
      </c>
      <c r="I48" s="202">
        <v>521446.86</v>
      </c>
      <c r="J48" s="202">
        <v>158464.91125827812</v>
      </c>
      <c r="K48" s="202">
        <f t="shared" si="0"/>
        <v>158464.91125827812</v>
      </c>
      <c r="L48" s="204">
        <v>276210.40000000002</v>
      </c>
      <c r="M48" s="6">
        <f t="shared" si="1"/>
        <v>117745.4887417219</v>
      </c>
    </row>
    <row r="49" spans="2:13" ht="45">
      <c r="B49" s="9" t="s">
        <v>49</v>
      </c>
      <c r="C49" s="9">
        <v>1538667035</v>
      </c>
      <c r="D49" s="9" t="s">
        <v>2007</v>
      </c>
      <c r="E49" s="9" t="s">
        <v>49</v>
      </c>
      <c r="F49" s="7" t="s">
        <v>2387</v>
      </c>
      <c r="G49" s="9" t="s">
        <v>1582</v>
      </c>
      <c r="H49" s="9" t="s">
        <v>1581</v>
      </c>
      <c r="I49" s="202">
        <v>4899606.6300000008</v>
      </c>
      <c r="J49" s="202">
        <v>261824.65786163521</v>
      </c>
      <c r="K49" s="202">
        <f t="shared" si="0"/>
        <v>261824.65786163521</v>
      </c>
      <c r="L49" s="204">
        <v>705004.59</v>
      </c>
      <c r="M49" s="6">
        <f t="shared" si="1"/>
        <v>443179.93213836476</v>
      </c>
    </row>
    <row r="50" spans="2:13" ht="45">
      <c r="B50" s="9" t="s">
        <v>548</v>
      </c>
      <c r="C50" s="9">
        <v>1033118716</v>
      </c>
      <c r="D50" s="9" t="s">
        <v>2096</v>
      </c>
      <c r="E50" s="9" t="s">
        <v>548</v>
      </c>
      <c r="F50" s="7" t="s">
        <v>2348</v>
      </c>
      <c r="G50" s="9" t="s">
        <v>1578</v>
      </c>
      <c r="H50" s="9" t="s">
        <v>1577</v>
      </c>
      <c r="I50" s="202">
        <v>601875.60000000009</v>
      </c>
      <c r="J50" s="202">
        <v>218962.30325</v>
      </c>
      <c r="K50" s="202">
        <f t="shared" si="0"/>
        <v>218962.30325</v>
      </c>
      <c r="L50" s="204">
        <v>403987.21</v>
      </c>
      <c r="M50" s="6">
        <f t="shared" si="1"/>
        <v>185024.90675000002</v>
      </c>
    </row>
    <row r="51" spans="2:13">
      <c r="B51" s="9" t="s">
        <v>551</v>
      </c>
      <c r="C51" s="9">
        <v>1013142553</v>
      </c>
      <c r="D51" s="9" t="s">
        <v>2095</v>
      </c>
      <c r="E51" s="9" t="s">
        <v>551</v>
      </c>
      <c r="F51" s="7" t="s">
        <v>2313</v>
      </c>
      <c r="G51" s="9" t="s">
        <v>1582</v>
      </c>
      <c r="H51" s="9" t="s">
        <v>1581</v>
      </c>
      <c r="I51" s="202">
        <v>3099234.87</v>
      </c>
      <c r="J51" s="202">
        <v>28169.759259259259</v>
      </c>
      <c r="K51" s="202">
        <f t="shared" si="0"/>
        <v>28169.759259259259</v>
      </c>
      <c r="L51" s="204">
        <v>1261698.52</v>
      </c>
      <c r="M51" s="6">
        <f t="shared" si="1"/>
        <v>1233528.7607407407</v>
      </c>
    </row>
    <row r="52" spans="2:13" ht="45">
      <c r="B52" s="9" t="s">
        <v>554</v>
      </c>
      <c r="C52" s="9">
        <v>1376662296</v>
      </c>
      <c r="D52" s="9" t="s">
        <v>2094</v>
      </c>
      <c r="E52" s="9" t="s">
        <v>554</v>
      </c>
      <c r="F52" s="7" t="s">
        <v>3653</v>
      </c>
      <c r="G52" s="9" t="s">
        <v>1582</v>
      </c>
      <c r="H52" s="9" t="s">
        <v>1581</v>
      </c>
      <c r="I52" s="202">
        <v>11289565.699999999</v>
      </c>
      <c r="J52" s="202">
        <v>741717.21518987336</v>
      </c>
      <c r="K52" s="202">
        <f t="shared" si="0"/>
        <v>741717.21518987336</v>
      </c>
      <c r="L52" s="204">
        <v>1865265.44</v>
      </c>
      <c r="M52" s="6">
        <f t="shared" si="1"/>
        <v>1123548.2248101267</v>
      </c>
    </row>
    <row r="53" spans="2:13" ht="60">
      <c r="B53" s="9" t="s">
        <v>527</v>
      </c>
      <c r="C53" s="9">
        <v>1174522494</v>
      </c>
      <c r="D53" s="9" t="s">
        <v>2107</v>
      </c>
      <c r="E53" s="9" t="s">
        <v>527</v>
      </c>
      <c r="F53" s="7" t="s">
        <v>3654</v>
      </c>
      <c r="G53" s="9" t="s">
        <v>1578</v>
      </c>
      <c r="H53" s="9" t="s">
        <v>1577</v>
      </c>
      <c r="I53" s="202">
        <v>1131153.04</v>
      </c>
      <c r="J53" s="202">
        <v>238755.51660606061</v>
      </c>
      <c r="K53" s="202">
        <f t="shared" si="0"/>
        <v>238755.51660606061</v>
      </c>
      <c r="L53" s="204">
        <v>418467.35</v>
      </c>
      <c r="M53" s="6">
        <f t="shared" si="1"/>
        <v>179711.83339393936</v>
      </c>
    </row>
    <row r="54" spans="2:13" ht="45">
      <c r="B54" s="9" t="s">
        <v>557</v>
      </c>
      <c r="C54" s="9">
        <v>1174576698</v>
      </c>
      <c r="D54" s="9" t="s">
        <v>2091</v>
      </c>
      <c r="E54" s="9" t="s">
        <v>557</v>
      </c>
      <c r="F54" s="7" t="s">
        <v>2554</v>
      </c>
      <c r="G54" s="9" t="s">
        <v>1582</v>
      </c>
      <c r="H54" s="9" t="s">
        <v>1581</v>
      </c>
      <c r="I54" s="202">
        <v>126365541.69999999</v>
      </c>
      <c r="J54" s="202">
        <v>8374781.4411764713</v>
      </c>
      <c r="K54" s="202">
        <f t="shared" si="0"/>
        <v>8374781.4411764713</v>
      </c>
      <c r="L54" s="204">
        <v>13167289.449999999</v>
      </c>
      <c r="M54" s="6">
        <f t="shared" si="1"/>
        <v>4792508.008823528</v>
      </c>
    </row>
    <row r="55" spans="2:13" ht="45">
      <c r="B55" s="9" t="s">
        <v>560</v>
      </c>
      <c r="C55" s="9">
        <v>1063466035</v>
      </c>
      <c r="D55" s="9" t="s">
        <v>2090</v>
      </c>
      <c r="E55" s="9" t="s">
        <v>560</v>
      </c>
      <c r="F55" s="7" t="s">
        <v>2569</v>
      </c>
      <c r="G55" s="9" t="s">
        <v>1582</v>
      </c>
      <c r="H55" s="9" t="s">
        <v>1581</v>
      </c>
      <c r="I55" s="202">
        <v>83645694.879999995</v>
      </c>
      <c r="J55" s="202">
        <v>5561021.0661764704</v>
      </c>
      <c r="K55" s="202">
        <f t="shared" si="0"/>
        <v>5561021.0661764704</v>
      </c>
      <c r="L55" s="204">
        <v>10673190.67</v>
      </c>
      <c r="M55" s="6">
        <f t="shared" si="1"/>
        <v>5112169.6038235296</v>
      </c>
    </row>
    <row r="56" spans="2:13" ht="45">
      <c r="B56" s="9" t="s">
        <v>563</v>
      </c>
      <c r="C56" s="9">
        <v>1962455816</v>
      </c>
      <c r="D56" s="9" t="s">
        <v>2089</v>
      </c>
      <c r="E56" s="9" t="s">
        <v>563</v>
      </c>
      <c r="F56" s="7" t="s">
        <v>2505</v>
      </c>
      <c r="G56" s="9" t="s">
        <v>1582</v>
      </c>
      <c r="H56" s="9" t="s">
        <v>1581</v>
      </c>
      <c r="I56" s="202">
        <v>55843180.429999992</v>
      </c>
      <c r="J56" s="202">
        <v>3110619.2794117648</v>
      </c>
      <c r="K56" s="202">
        <f t="shared" si="0"/>
        <v>3110619.2794117648</v>
      </c>
      <c r="L56" s="204">
        <v>6109243.9400000004</v>
      </c>
      <c r="M56" s="6">
        <f t="shared" si="1"/>
        <v>2998624.6605882356</v>
      </c>
    </row>
    <row r="57" spans="2:13" ht="45">
      <c r="B57" s="9" t="s">
        <v>566</v>
      </c>
      <c r="C57" s="9">
        <v>1609275585</v>
      </c>
      <c r="D57" s="9" t="s">
        <v>2088</v>
      </c>
      <c r="E57" s="9" t="s">
        <v>566</v>
      </c>
      <c r="F57" s="7" t="s">
        <v>3655</v>
      </c>
      <c r="G57" s="9" t="s">
        <v>1582</v>
      </c>
      <c r="H57" s="9" t="s">
        <v>1581</v>
      </c>
      <c r="I57" s="202">
        <v>18126867.309999999</v>
      </c>
      <c r="J57" s="202">
        <v>600216.35294117662</v>
      </c>
      <c r="K57" s="202">
        <f t="shared" si="0"/>
        <v>600216.35294117662</v>
      </c>
      <c r="L57" s="204">
        <v>2124613.87</v>
      </c>
      <c r="M57" s="6">
        <f t="shared" si="1"/>
        <v>1524397.5170588235</v>
      </c>
    </row>
    <row r="58" spans="2:13" ht="45">
      <c r="B58" s="9" t="s">
        <v>569</v>
      </c>
      <c r="C58" s="9">
        <v>1275580938</v>
      </c>
      <c r="D58" s="9" t="s">
        <v>2087</v>
      </c>
      <c r="E58" s="9" t="s">
        <v>569</v>
      </c>
      <c r="F58" s="7" t="s">
        <v>2543</v>
      </c>
      <c r="G58" s="9" t="s">
        <v>1582</v>
      </c>
      <c r="H58" s="9" t="s">
        <v>1581</v>
      </c>
      <c r="I58" s="202">
        <v>50204374.180000007</v>
      </c>
      <c r="J58" s="202">
        <v>2904837.8786764704</v>
      </c>
      <c r="K58" s="202">
        <f t="shared" si="0"/>
        <v>2904837.8786764704</v>
      </c>
      <c r="L58" s="204">
        <v>5612849.0300000003</v>
      </c>
      <c r="M58" s="6">
        <f t="shared" si="1"/>
        <v>2708011.1513235299</v>
      </c>
    </row>
    <row r="59" spans="2:13" ht="45">
      <c r="B59" s="9" t="s">
        <v>572</v>
      </c>
      <c r="C59" s="9">
        <v>1023065794</v>
      </c>
      <c r="D59" s="9" t="s">
        <v>2086</v>
      </c>
      <c r="E59" s="9" t="s">
        <v>572</v>
      </c>
      <c r="F59" s="7" t="s">
        <v>2574</v>
      </c>
      <c r="G59" s="9" t="s">
        <v>1582</v>
      </c>
      <c r="H59" s="9" t="s">
        <v>1581</v>
      </c>
      <c r="I59" s="202">
        <v>37051995.980000004</v>
      </c>
      <c r="J59" s="202">
        <v>2779932.0294117648</v>
      </c>
      <c r="K59" s="202">
        <f t="shared" si="0"/>
        <v>2779932.0294117648</v>
      </c>
      <c r="L59" s="204">
        <v>8554564.8300000001</v>
      </c>
      <c r="M59" s="6">
        <f t="shared" si="1"/>
        <v>5774632.8005882353</v>
      </c>
    </row>
    <row r="60" spans="2:13" ht="45">
      <c r="B60" s="9" t="s">
        <v>1041</v>
      </c>
      <c r="C60" s="9">
        <v>1184622847</v>
      </c>
      <c r="D60" s="9" t="s">
        <v>2082</v>
      </c>
      <c r="E60" s="9" t="s">
        <v>1041</v>
      </c>
      <c r="F60" s="7" t="s">
        <v>1043</v>
      </c>
      <c r="G60" s="9" t="s">
        <v>1582</v>
      </c>
      <c r="H60" s="9" t="s">
        <v>1581</v>
      </c>
      <c r="I60" s="202">
        <v>63264621.910000004</v>
      </c>
      <c r="J60" s="202">
        <v>5022207.4963235296</v>
      </c>
      <c r="K60" s="202">
        <f t="shared" si="0"/>
        <v>5022207.4963235296</v>
      </c>
      <c r="L60" s="204">
        <v>16811561.039999999</v>
      </c>
      <c r="M60" s="6">
        <f t="shared" si="1"/>
        <v>11789353.543676469</v>
      </c>
    </row>
    <row r="61" spans="2:13" ht="60">
      <c r="B61" s="9" t="s">
        <v>55</v>
      </c>
      <c r="C61" s="9">
        <v>1194743013</v>
      </c>
      <c r="D61" s="9" t="s">
        <v>2081</v>
      </c>
      <c r="E61" s="9" t="s">
        <v>55</v>
      </c>
      <c r="F61" s="7" t="s">
        <v>3657</v>
      </c>
      <c r="G61" s="9" t="s">
        <v>1582</v>
      </c>
      <c r="H61" s="9" t="s">
        <v>1581</v>
      </c>
      <c r="I61" s="202">
        <v>384051377.79000008</v>
      </c>
      <c r="J61" s="202">
        <v>116994401.4965035</v>
      </c>
      <c r="K61" s="202">
        <f t="shared" si="0"/>
        <v>116994401.4965035</v>
      </c>
      <c r="L61" s="204">
        <v>117547373.3</v>
      </c>
      <c r="M61" s="6">
        <f t="shared" si="1"/>
        <v>552971.80349649489</v>
      </c>
    </row>
    <row r="62" spans="2:13" ht="60">
      <c r="B62" s="9" t="s">
        <v>58</v>
      </c>
      <c r="C62" s="9">
        <v>1720480627</v>
      </c>
      <c r="D62" s="9" t="s">
        <v>2080</v>
      </c>
      <c r="E62" s="9" t="s">
        <v>58</v>
      </c>
      <c r="F62" s="7" t="s">
        <v>3658</v>
      </c>
      <c r="G62" s="9" t="s">
        <v>1582</v>
      </c>
      <c r="H62" s="9" t="s">
        <v>1581</v>
      </c>
      <c r="I62" s="202">
        <v>82808803.870000005</v>
      </c>
      <c r="J62" s="202">
        <v>24374120.944055945</v>
      </c>
      <c r="K62" s="202">
        <f t="shared" si="0"/>
        <v>24374120.944055945</v>
      </c>
      <c r="L62" s="204">
        <v>20720750.140000001</v>
      </c>
      <c r="M62" s="6">
        <f t="shared" si="1"/>
        <v>-3653370.8040559441</v>
      </c>
    </row>
    <row r="63" spans="2:13" ht="60">
      <c r="B63" s="9" t="s">
        <v>587</v>
      </c>
      <c r="C63" s="9">
        <v>1326079534</v>
      </c>
      <c r="D63" s="9" t="s">
        <v>2079</v>
      </c>
      <c r="E63" s="9" t="s">
        <v>587</v>
      </c>
      <c r="F63" s="7" t="s">
        <v>2337</v>
      </c>
      <c r="G63" s="9" t="s">
        <v>1578</v>
      </c>
      <c r="H63" s="9" t="s">
        <v>1581</v>
      </c>
      <c r="I63" s="202">
        <v>1946533.28</v>
      </c>
      <c r="J63" s="202">
        <v>411760.16849999991</v>
      </c>
      <c r="K63" s="202">
        <f t="shared" si="0"/>
        <v>411760.16849999991</v>
      </c>
      <c r="L63" s="204">
        <v>868989.1</v>
      </c>
      <c r="M63" s="6">
        <f t="shared" si="1"/>
        <v>457228.93150000006</v>
      </c>
    </row>
    <row r="64" spans="2:13" ht="45">
      <c r="B64" s="9" t="s">
        <v>64</v>
      </c>
      <c r="C64" s="9">
        <v>1124092036</v>
      </c>
      <c r="D64" s="9" t="s">
        <v>1955</v>
      </c>
      <c r="E64" s="9" t="s">
        <v>64</v>
      </c>
      <c r="F64" s="7" t="s">
        <v>3659</v>
      </c>
      <c r="G64" s="9" t="s">
        <v>1582</v>
      </c>
      <c r="H64" s="9" t="s">
        <v>1581</v>
      </c>
      <c r="I64" s="202">
        <v>83963706.770000011</v>
      </c>
      <c r="J64" s="202">
        <v>3036793.0271739149</v>
      </c>
      <c r="K64" s="202">
        <f t="shared" si="0"/>
        <v>3036793.0271739149</v>
      </c>
      <c r="L64" s="204">
        <v>15631456.119999999</v>
      </c>
      <c r="M64" s="6">
        <f t="shared" si="1"/>
        <v>12594663.092826083</v>
      </c>
    </row>
    <row r="65" spans="2:13" ht="30">
      <c r="B65" s="9" t="s">
        <v>67</v>
      </c>
      <c r="C65" s="9">
        <v>1295736734</v>
      </c>
      <c r="D65" s="9" t="s">
        <v>2077</v>
      </c>
      <c r="E65" s="9" t="s">
        <v>67</v>
      </c>
      <c r="F65" s="7" t="s">
        <v>3660</v>
      </c>
      <c r="G65" s="9" t="s">
        <v>1582</v>
      </c>
      <c r="H65" s="9" t="s">
        <v>1581</v>
      </c>
      <c r="I65" s="202">
        <v>36670799.609999999</v>
      </c>
      <c r="J65" s="202">
        <v>2267377.4130434785</v>
      </c>
      <c r="K65" s="202">
        <f t="shared" si="0"/>
        <v>2267377.4130434785</v>
      </c>
      <c r="L65" s="204">
        <v>6743393.3399999999</v>
      </c>
      <c r="M65" s="6">
        <f t="shared" si="1"/>
        <v>4476015.9269565213</v>
      </c>
    </row>
    <row r="66" spans="2:13" ht="45">
      <c r="B66" s="9" t="s">
        <v>1382</v>
      </c>
      <c r="C66" s="9">
        <v>1467453902</v>
      </c>
      <c r="D66" s="9" t="s">
        <v>2078</v>
      </c>
      <c r="E66" s="9" t="s">
        <v>1382</v>
      </c>
      <c r="F66" s="7" t="s">
        <v>2402</v>
      </c>
      <c r="G66" s="9" t="s">
        <v>1582</v>
      </c>
      <c r="H66" s="9" t="s">
        <v>1581</v>
      </c>
      <c r="I66" s="202">
        <v>844360.39</v>
      </c>
      <c r="J66" s="202">
        <v>120812.49456521741</v>
      </c>
      <c r="K66" s="202">
        <f t="shared" si="0"/>
        <v>120812.49456521741</v>
      </c>
      <c r="L66" s="204">
        <v>286832.94</v>
      </c>
      <c r="M66" s="6">
        <f t="shared" si="1"/>
        <v>166020.4454347826</v>
      </c>
    </row>
    <row r="67" spans="2:13" ht="45">
      <c r="B67" s="9" t="s">
        <v>593</v>
      </c>
      <c r="C67" s="9">
        <v>1679557888</v>
      </c>
      <c r="D67" s="9" t="s">
        <v>2076</v>
      </c>
      <c r="E67" s="9" t="s">
        <v>593</v>
      </c>
      <c r="F67" s="7" t="s">
        <v>2474</v>
      </c>
      <c r="G67" s="9" t="s">
        <v>1582</v>
      </c>
      <c r="H67" s="9" t="s">
        <v>1581</v>
      </c>
      <c r="I67" s="202">
        <v>48245329.950000003</v>
      </c>
      <c r="J67" s="202">
        <v>2853938.27510917</v>
      </c>
      <c r="K67" s="202">
        <f t="shared" si="0"/>
        <v>2853938.27510917</v>
      </c>
      <c r="L67" s="204">
        <v>11036061.33</v>
      </c>
      <c r="M67" s="6">
        <f t="shared" si="1"/>
        <v>8182123.0548908301</v>
      </c>
    </row>
    <row r="68" spans="2:13" ht="60">
      <c r="B68" s="9" t="s">
        <v>599</v>
      </c>
      <c r="C68" s="9">
        <v>1598749707</v>
      </c>
      <c r="D68" s="9" t="s">
        <v>1699</v>
      </c>
      <c r="E68" s="9" t="s">
        <v>599</v>
      </c>
      <c r="F68" s="7" t="s">
        <v>3661</v>
      </c>
      <c r="G68" s="9" t="s">
        <v>1582</v>
      </c>
      <c r="H68" s="9" t="s">
        <v>1581</v>
      </c>
      <c r="I68" s="202">
        <v>5316968.58</v>
      </c>
      <c r="J68" s="202">
        <v>657744.09987878788</v>
      </c>
      <c r="K68" s="202">
        <f t="shared" si="0"/>
        <v>657744.09987878788</v>
      </c>
      <c r="L68" s="204">
        <v>1111040.1299999999</v>
      </c>
      <c r="M68" s="6">
        <f t="shared" si="1"/>
        <v>453296.03012121201</v>
      </c>
    </row>
    <row r="69" spans="2:13" ht="75">
      <c r="B69" s="9" t="s">
        <v>596</v>
      </c>
      <c r="C69" s="9">
        <v>1033568621</v>
      </c>
      <c r="D69" s="9" t="s">
        <v>2075</v>
      </c>
      <c r="E69" s="9" t="s">
        <v>596</v>
      </c>
      <c r="F69" s="7" t="s">
        <v>598</v>
      </c>
      <c r="G69" s="9" t="s">
        <v>1582</v>
      </c>
      <c r="H69" s="9" t="s">
        <v>1581</v>
      </c>
      <c r="I69" s="202">
        <v>13537372.779999999</v>
      </c>
      <c r="J69" s="202">
        <v>1367192.0576100629</v>
      </c>
      <c r="K69" s="202">
        <f t="shared" si="0"/>
        <v>1367192.0576100629</v>
      </c>
      <c r="L69" s="204">
        <v>2816163.41</v>
      </c>
      <c r="M69" s="6">
        <f t="shared" si="1"/>
        <v>1448971.3523899373</v>
      </c>
    </row>
    <row r="70" spans="2:13" ht="60">
      <c r="B70" s="9" t="s">
        <v>70</v>
      </c>
      <c r="C70" s="9">
        <v>1821004151</v>
      </c>
      <c r="D70" s="9" t="s">
        <v>2074</v>
      </c>
      <c r="E70" s="9" t="s">
        <v>70</v>
      </c>
      <c r="F70" s="7" t="s">
        <v>3662</v>
      </c>
      <c r="G70" s="9" t="s">
        <v>1582</v>
      </c>
      <c r="H70" s="9" t="s">
        <v>1581</v>
      </c>
      <c r="I70" s="202">
        <v>112388155.67</v>
      </c>
      <c r="J70" s="202">
        <v>10188110.888888888</v>
      </c>
      <c r="K70" s="202">
        <f t="shared" si="0"/>
        <v>10188110.888888888</v>
      </c>
      <c r="L70" s="204">
        <v>25929880.59</v>
      </c>
      <c r="M70" s="6">
        <f t="shared" si="1"/>
        <v>15741769.701111112</v>
      </c>
    </row>
    <row r="71" spans="2:13" ht="60">
      <c r="B71" s="9" t="s">
        <v>3281</v>
      </c>
      <c r="C71" s="9">
        <v>1194787218</v>
      </c>
      <c r="D71" s="9" t="s">
        <v>2073</v>
      </c>
      <c r="E71" s="9" t="s">
        <v>3281</v>
      </c>
      <c r="F71" s="7" t="s">
        <v>2708</v>
      </c>
      <c r="G71" s="9" t="s">
        <v>1582</v>
      </c>
      <c r="H71" s="9" t="s">
        <v>1581</v>
      </c>
      <c r="I71" s="202">
        <v>46048530.300000004</v>
      </c>
      <c r="J71" s="202">
        <v>2496701.1165644182</v>
      </c>
      <c r="K71" s="202">
        <f t="shared" ref="K71:K134" si="2">J71</f>
        <v>2496701.1165644182</v>
      </c>
      <c r="L71" s="204">
        <v>9875199.4199999999</v>
      </c>
      <c r="M71" s="6">
        <f t="shared" si="1"/>
        <v>7378498.3034355817</v>
      </c>
    </row>
    <row r="72" spans="2:13" ht="75">
      <c r="B72" s="9" t="s">
        <v>3068</v>
      </c>
      <c r="C72" s="9">
        <v>1447883301</v>
      </c>
      <c r="D72" s="9" t="s">
        <v>2138</v>
      </c>
      <c r="E72" s="9" t="s">
        <v>3068</v>
      </c>
      <c r="F72" s="7" t="s">
        <v>3663</v>
      </c>
      <c r="G72" s="9" t="s">
        <v>1582</v>
      </c>
      <c r="H72" s="9" t="s">
        <v>1581</v>
      </c>
      <c r="I72" s="202">
        <v>14576092.970000001</v>
      </c>
      <c r="J72" s="202">
        <v>833364.92405063286</v>
      </c>
      <c r="K72" s="202">
        <f t="shared" si="2"/>
        <v>833364.92405063286</v>
      </c>
      <c r="L72" s="204">
        <v>3557849.38</v>
      </c>
      <c r="M72" s="6">
        <f t="shared" ref="M72:M135" si="3">L72-K72</f>
        <v>2724484.455949367</v>
      </c>
    </row>
    <row r="73" spans="2:13" ht="30">
      <c r="B73" s="9" t="s">
        <v>73</v>
      </c>
      <c r="C73" s="9">
        <v>1003885641</v>
      </c>
      <c r="D73" s="9" t="s">
        <v>2071</v>
      </c>
      <c r="E73" s="9" t="s">
        <v>73</v>
      </c>
      <c r="F73" s="7" t="s">
        <v>3664</v>
      </c>
      <c r="G73" s="9" t="s">
        <v>1582</v>
      </c>
      <c r="H73" s="9" t="s">
        <v>1581</v>
      </c>
      <c r="I73" s="202">
        <v>18591294.27</v>
      </c>
      <c r="J73" s="202">
        <v>1158239.2632098764</v>
      </c>
      <c r="K73" s="202">
        <f t="shared" si="2"/>
        <v>1158239.2632098764</v>
      </c>
      <c r="L73" s="204">
        <v>2422981.0699999998</v>
      </c>
      <c r="M73" s="6">
        <f t="shared" si="3"/>
        <v>1264741.8067901235</v>
      </c>
    </row>
    <row r="74" spans="2:13" ht="60">
      <c r="B74" s="9" t="s">
        <v>602</v>
      </c>
      <c r="C74" s="9">
        <v>1447228747</v>
      </c>
      <c r="D74" s="9" t="s">
        <v>2072</v>
      </c>
      <c r="E74" s="9" t="s">
        <v>602</v>
      </c>
      <c r="F74" s="7" t="s">
        <v>2300</v>
      </c>
      <c r="G74" s="9" t="s">
        <v>1582</v>
      </c>
      <c r="H74" s="9" t="s">
        <v>1581</v>
      </c>
      <c r="I74" s="202">
        <v>12471651.27</v>
      </c>
      <c r="J74" s="202">
        <v>829739.34296296292</v>
      </c>
      <c r="K74" s="202">
        <f t="shared" si="2"/>
        <v>829739.34296296292</v>
      </c>
      <c r="L74" s="204">
        <v>1409640.81</v>
      </c>
      <c r="M74" s="6">
        <f t="shared" si="3"/>
        <v>579901.46703703713</v>
      </c>
    </row>
    <row r="75" spans="2:13" ht="60">
      <c r="B75" s="9" t="s">
        <v>1560</v>
      </c>
      <c r="C75" s="9">
        <v>1689641680</v>
      </c>
      <c r="D75" s="9" t="s">
        <v>2069</v>
      </c>
      <c r="E75" s="9" t="s">
        <v>1560</v>
      </c>
      <c r="F75" s="7" t="s">
        <v>2298</v>
      </c>
      <c r="G75" s="9" t="s">
        <v>1582</v>
      </c>
      <c r="H75" s="9" t="s">
        <v>1581</v>
      </c>
      <c r="I75" s="202">
        <v>80303974.670000002</v>
      </c>
      <c r="J75" s="202">
        <v>5950176.944444444</v>
      </c>
      <c r="K75" s="202">
        <f t="shared" si="2"/>
        <v>5950176.944444444</v>
      </c>
      <c r="L75" s="204">
        <v>16896887.800000001</v>
      </c>
      <c r="M75" s="6">
        <f t="shared" si="3"/>
        <v>10946710.855555557</v>
      </c>
    </row>
    <row r="76" spans="2:13" ht="60">
      <c r="B76" s="9" t="s">
        <v>608</v>
      </c>
      <c r="C76" s="9">
        <v>1093783391</v>
      </c>
      <c r="D76" s="9" t="s">
        <v>2068</v>
      </c>
      <c r="E76" s="9" t="s">
        <v>608</v>
      </c>
      <c r="F76" s="7" t="s">
        <v>2301</v>
      </c>
      <c r="G76" s="9" t="s">
        <v>1582</v>
      </c>
      <c r="H76" s="9" t="s">
        <v>1581</v>
      </c>
      <c r="I76" s="202">
        <v>12902084.039999999</v>
      </c>
      <c r="J76" s="202">
        <v>874215.96987654315</v>
      </c>
      <c r="K76" s="202">
        <f t="shared" si="2"/>
        <v>874215.96987654315</v>
      </c>
      <c r="L76" s="204">
        <v>1332645.94</v>
      </c>
      <c r="M76" s="6">
        <f t="shared" si="3"/>
        <v>458429.97012345679</v>
      </c>
    </row>
    <row r="77" spans="2:13" ht="45">
      <c r="B77" s="9" t="s">
        <v>611</v>
      </c>
      <c r="C77" s="9">
        <v>1124052162</v>
      </c>
      <c r="D77" s="9" t="s">
        <v>2067</v>
      </c>
      <c r="E77" s="9" t="s">
        <v>611</v>
      </c>
      <c r="F77" s="7" t="s">
        <v>2315</v>
      </c>
      <c r="G77" s="9" t="s">
        <v>1578</v>
      </c>
      <c r="H77" s="9" t="s">
        <v>1581</v>
      </c>
      <c r="I77" s="202">
        <v>10188257.550000001</v>
      </c>
      <c r="J77" s="202">
        <v>1229479.3727810651</v>
      </c>
      <c r="K77" s="202">
        <f t="shared" si="2"/>
        <v>1229479.3727810651</v>
      </c>
      <c r="L77" s="204">
        <v>3694262.19</v>
      </c>
      <c r="M77" s="6">
        <f t="shared" si="3"/>
        <v>2464782.8172189351</v>
      </c>
    </row>
    <row r="78" spans="2:13" ht="60">
      <c r="B78" s="9" t="s">
        <v>1387</v>
      </c>
      <c r="C78" s="9">
        <v>1861882532</v>
      </c>
      <c r="D78" s="9" t="s">
        <v>2729</v>
      </c>
      <c r="E78" s="9" t="s">
        <v>1387</v>
      </c>
      <c r="F78" s="7" t="s">
        <v>3665</v>
      </c>
      <c r="G78" s="9" t="s">
        <v>1582</v>
      </c>
      <c r="H78" s="9" t="s">
        <v>1581</v>
      </c>
      <c r="I78" s="202">
        <v>8396.25</v>
      </c>
      <c r="J78" s="202">
        <v>1718.625</v>
      </c>
      <c r="K78" s="202">
        <f t="shared" si="2"/>
        <v>1718.625</v>
      </c>
      <c r="L78" s="204">
        <v>2804.4</v>
      </c>
      <c r="M78" s="6">
        <f t="shared" si="3"/>
        <v>1085.7750000000001</v>
      </c>
    </row>
    <row r="79" spans="2:13" ht="30">
      <c r="B79" s="9" t="s">
        <v>617</v>
      </c>
      <c r="C79" s="9">
        <v>1942314448</v>
      </c>
      <c r="D79" s="9" t="s">
        <v>2149</v>
      </c>
      <c r="E79" s="9" t="s">
        <v>617</v>
      </c>
      <c r="F79" s="7" t="s">
        <v>2150</v>
      </c>
      <c r="G79" s="9" t="s">
        <v>1578</v>
      </c>
      <c r="H79" s="9" t="s">
        <v>1577</v>
      </c>
      <c r="I79" s="202">
        <v>30621.420000000002</v>
      </c>
      <c r="J79" s="202">
        <v>15010.450749999996</v>
      </c>
      <c r="K79" s="202">
        <f t="shared" si="2"/>
        <v>15010.450749999996</v>
      </c>
      <c r="L79" s="204">
        <v>28451.09</v>
      </c>
      <c r="M79" s="6">
        <f t="shared" si="3"/>
        <v>13440.639250000004</v>
      </c>
    </row>
    <row r="80" spans="2:13" ht="60">
      <c r="B80" s="9" t="s">
        <v>1554</v>
      </c>
      <c r="C80" s="9">
        <v>1689628984</v>
      </c>
      <c r="D80" s="9" t="s">
        <v>2059</v>
      </c>
      <c r="E80" s="9" t="s">
        <v>1554</v>
      </c>
      <c r="F80" s="7" t="s">
        <v>3666</v>
      </c>
      <c r="G80" s="9" t="s">
        <v>1582</v>
      </c>
      <c r="H80" s="9" t="s">
        <v>1581</v>
      </c>
      <c r="I80" s="202">
        <v>96043133.75999999</v>
      </c>
      <c r="J80" s="202">
        <v>4141333.7048192765</v>
      </c>
      <c r="K80" s="202">
        <f t="shared" si="2"/>
        <v>4141333.7048192765</v>
      </c>
      <c r="L80" s="204">
        <v>13492293.1</v>
      </c>
      <c r="M80" s="6">
        <f t="shared" si="3"/>
        <v>9350959.3951807227</v>
      </c>
    </row>
    <row r="81" spans="2:13" ht="60">
      <c r="B81" s="9" t="s">
        <v>623</v>
      </c>
      <c r="C81" s="9">
        <v>1134172406</v>
      </c>
      <c r="D81" s="9" t="s">
        <v>2058</v>
      </c>
      <c r="E81" s="9" t="s">
        <v>623</v>
      </c>
      <c r="F81" s="7" t="s">
        <v>2285</v>
      </c>
      <c r="G81" s="9" t="s">
        <v>1582</v>
      </c>
      <c r="H81" s="9" t="s">
        <v>1581</v>
      </c>
      <c r="I81" s="202">
        <v>86152752.370000005</v>
      </c>
      <c r="J81" s="202">
        <v>2093132.5812499998</v>
      </c>
      <c r="K81" s="202">
        <f t="shared" si="2"/>
        <v>2093132.5812499998</v>
      </c>
      <c r="L81" s="204">
        <v>8291719.9699999997</v>
      </c>
      <c r="M81" s="6">
        <f t="shared" si="3"/>
        <v>6198587.3887499999</v>
      </c>
    </row>
    <row r="82" spans="2:13" ht="60">
      <c r="B82" s="9" t="s">
        <v>626</v>
      </c>
      <c r="C82" s="9">
        <v>1306897277</v>
      </c>
      <c r="D82" s="9" t="s">
        <v>2057</v>
      </c>
      <c r="E82" s="9" t="s">
        <v>626</v>
      </c>
      <c r="F82" s="7" t="s">
        <v>3667</v>
      </c>
      <c r="G82" s="9" t="s">
        <v>1582</v>
      </c>
      <c r="H82" s="9" t="s">
        <v>1581</v>
      </c>
      <c r="I82" s="202">
        <v>29413147.720000006</v>
      </c>
      <c r="J82" s="202">
        <v>621330.97499999998</v>
      </c>
      <c r="K82" s="202">
        <f t="shared" si="2"/>
        <v>621330.97499999998</v>
      </c>
      <c r="L82" s="204">
        <v>3318979.59</v>
      </c>
      <c r="M82" s="6">
        <f t="shared" si="3"/>
        <v>2697648.6149999998</v>
      </c>
    </row>
    <row r="83" spans="2:13" ht="60">
      <c r="B83" s="9" t="s">
        <v>629</v>
      </c>
      <c r="C83" s="9">
        <v>1902857766</v>
      </c>
      <c r="D83" s="9" t="s">
        <v>2056</v>
      </c>
      <c r="E83" s="9" t="s">
        <v>629</v>
      </c>
      <c r="F83" s="7" t="s">
        <v>2625</v>
      </c>
      <c r="G83" s="9" t="s">
        <v>1582</v>
      </c>
      <c r="H83" s="9" t="s">
        <v>1581</v>
      </c>
      <c r="I83" s="202">
        <v>21188264.690000001</v>
      </c>
      <c r="J83" s="202">
        <v>602493.02409638546</v>
      </c>
      <c r="K83" s="202">
        <f t="shared" si="2"/>
        <v>602493.02409638546</v>
      </c>
      <c r="L83" s="204">
        <v>1714130.61</v>
      </c>
      <c r="M83" s="6">
        <f t="shared" si="3"/>
        <v>1111637.5859036148</v>
      </c>
    </row>
    <row r="84" spans="2:13" ht="60">
      <c r="B84" s="9" t="s">
        <v>605</v>
      </c>
      <c r="C84" s="9">
        <v>1437102639</v>
      </c>
      <c r="D84" s="9" t="s">
        <v>2055</v>
      </c>
      <c r="E84" s="9" t="s">
        <v>605</v>
      </c>
      <c r="F84" s="7" t="s">
        <v>2653</v>
      </c>
      <c r="G84" s="9" t="s">
        <v>1582</v>
      </c>
      <c r="H84" s="9" t="s">
        <v>1581</v>
      </c>
      <c r="I84" s="202">
        <v>31430628.630000003</v>
      </c>
      <c r="J84" s="202">
        <v>939665.92168674688</v>
      </c>
      <c r="K84" s="202">
        <f t="shared" si="2"/>
        <v>939665.92168674688</v>
      </c>
      <c r="L84" s="204">
        <v>3557571.25</v>
      </c>
      <c r="M84" s="6">
        <f t="shared" si="3"/>
        <v>2617905.3283132529</v>
      </c>
    </row>
    <row r="85" spans="2:13" ht="45">
      <c r="B85" s="9" t="s">
        <v>632</v>
      </c>
      <c r="C85" s="9">
        <v>1699726406</v>
      </c>
      <c r="D85" s="9" t="s">
        <v>2054</v>
      </c>
      <c r="E85" s="9" t="s">
        <v>632</v>
      </c>
      <c r="F85" s="7" t="s">
        <v>2638</v>
      </c>
      <c r="G85" s="9" t="s">
        <v>1582</v>
      </c>
      <c r="H85" s="9" t="s">
        <v>1581</v>
      </c>
      <c r="I85" s="202">
        <v>34577389.120000005</v>
      </c>
      <c r="J85" s="202">
        <v>957061.49999999977</v>
      </c>
      <c r="K85" s="202">
        <f t="shared" si="2"/>
        <v>957061.49999999977</v>
      </c>
      <c r="L85" s="204">
        <v>4379987.03</v>
      </c>
      <c r="M85" s="6">
        <f t="shared" si="3"/>
        <v>3422925.5300000003</v>
      </c>
    </row>
    <row r="86" spans="2:13" ht="45">
      <c r="B86" s="9" t="s">
        <v>635</v>
      </c>
      <c r="C86" s="9">
        <v>1518911833</v>
      </c>
      <c r="D86" s="9" t="s">
        <v>2053</v>
      </c>
      <c r="E86" s="9" t="s">
        <v>635</v>
      </c>
      <c r="F86" s="7" t="s">
        <v>2268</v>
      </c>
      <c r="G86" s="9" t="s">
        <v>1582</v>
      </c>
      <c r="H86" s="9" t="s">
        <v>1581</v>
      </c>
      <c r="I86" s="202">
        <v>21921574.830000002</v>
      </c>
      <c r="J86" s="202">
        <v>521098.86875000002</v>
      </c>
      <c r="K86" s="202">
        <f t="shared" si="2"/>
        <v>521098.86875000002</v>
      </c>
      <c r="L86" s="204">
        <v>2750272.01</v>
      </c>
      <c r="M86" s="6">
        <f t="shared" si="3"/>
        <v>2229173.1412499999</v>
      </c>
    </row>
    <row r="87" spans="2:13" ht="60">
      <c r="B87" s="9" t="s">
        <v>638</v>
      </c>
      <c r="C87" s="9">
        <v>1659323772</v>
      </c>
      <c r="D87" s="9" t="s">
        <v>2052</v>
      </c>
      <c r="E87" s="9" t="s">
        <v>638</v>
      </c>
      <c r="F87" s="7" t="s">
        <v>2263</v>
      </c>
      <c r="G87" s="9" t="s">
        <v>1582</v>
      </c>
      <c r="H87" s="9" t="s">
        <v>1581</v>
      </c>
      <c r="I87" s="202">
        <v>55681730.469999999</v>
      </c>
      <c r="J87" s="202">
        <v>1457360.65</v>
      </c>
      <c r="K87" s="202">
        <f t="shared" si="2"/>
        <v>1457360.65</v>
      </c>
      <c r="L87" s="204">
        <v>7406561.0599999996</v>
      </c>
      <c r="M87" s="6">
        <f t="shared" si="3"/>
        <v>5949200.4100000001</v>
      </c>
    </row>
    <row r="88" spans="2:13" ht="60">
      <c r="B88" s="9" t="s">
        <v>641</v>
      </c>
      <c r="C88" s="9">
        <v>1619924719</v>
      </c>
      <c r="D88" s="9" t="s">
        <v>2051</v>
      </c>
      <c r="E88" s="9" t="s">
        <v>641</v>
      </c>
      <c r="F88" s="7" t="s">
        <v>2485</v>
      </c>
      <c r="G88" s="9" t="s">
        <v>1582</v>
      </c>
      <c r="H88" s="9" t="s">
        <v>1581</v>
      </c>
      <c r="I88" s="202">
        <v>73591240.890000001</v>
      </c>
      <c r="J88" s="202">
        <v>2496907.497041421</v>
      </c>
      <c r="K88" s="202">
        <f t="shared" si="2"/>
        <v>2496907.497041421</v>
      </c>
      <c r="L88" s="204">
        <v>7387699.5700000003</v>
      </c>
      <c r="M88" s="6">
        <f t="shared" si="3"/>
        <v>4890792.0729585793</v>
      </c>
    </row>
    <row r="89" spans="2:13" ht="60">
      <c r="B89" s="9" t="s">
        <v>644</v>
      </c>
      <c r="C89" s="9">
        <v>1043267701</v>
      </c>
      <c r="D89" s="9" t="s">
        <v>2050</v>
      </c>
      <c r="E89" s="9" t="s">
        <v>644</v>
      </c>
      <c r="F89" s="7" t="s">
        <v>2494</v>
      </c>
      <c r="G89" s="9" t="s">
        <v>1582</v>
      </c>
      <c r="H89" s="9" t="s">
        <v>1581</v>
      </c>
      <c r="I89" s="202">
        <v>52783291.159999996</v>
      </c>
      <c r="J89" s="202">
        <v>1447909.2130177515</v>
      </c>
      <c r="K89" s="202">
        <f t="shared" si="2"/>
        <v>1447909.2130177515</v>
      </c>
      <c r="L89" s="204">
        <v>5549846.3700000001</v>
      </c>
      <c r="M89" s="6">
        <f t="shared" si="3"/>
        <v>4101937.1569822486</v>
      </c>
    </row>
    <row r="90" spans="2:13" ht="30">
      <c r="B90" s="9" t="s">
        <v>76</v>
      </c>
      <c r="C90" s="9">
        <v>1740238641</v>
      </c>
      <c r="D90" s="9" t="s">
        <v>2049</v>
      </c>
      <c r="E90" s="9" t="s">
        <v>76</v>
      </c>
      <c r="F90" s="7" t="s">
        <v>2425</v>
      </c>
      <c r="G90" s="9" t="s">
        <v>1582</v>
      </c>
      <c r="H90" s="9" t="s">
        <v>1581</v>
      </c>
      <c r="I90" s="202">
        <v>1775647.7400000002</v>
      </c>
      <c r="J90" s="202">
        <v>420774.92768211919</v>
      </c>
      <c r="K90" s="202">
        <f t="shared" si="2"/>
        <v>420774.92768211919</v>
      </c>
      <c r="L90" s="204">
        <v>1065295.6000000001</v>
      </c>
      <c r="M90" s="6">
        <f t="shared" si="3"/>
        <v>644520.6723178809</v>
      </c>
    </row>
    <row r="91" spans="2:13" ht="60">
      <c r="B91" s="9" t="s">
        <v>2046</v>
      </c>
      <c r="C91" s="9">
        <v>1346544616</v>
      </c>
      <c r="D91" s="9" t="s">
        <v>2047</v>
      </c>
      <c r="E91" s="9" t="s">
        <v>2046</v>
      </c>
      <c r="F91" s="7" t="s">
        <v>2200</v>
      </c>
      <c r="G91" s="9" t="s">
        <v>1582</v>
      </c>
      <c r="H91" s="9" t="s">
        <v>1577</v>
      </c>
      <c r="I91" s="202">
        <v>894686.27</v>
      </c>
      <c r="J91" s="202">
        <v>208998.46754966886</v>
      </c>
      <c r="K91" s="202">
        <f t="shared" si="2"/>
        <v>208998.46754966886</v>
      </c>
      <c r="L91" s="204">
        <v>228710.45</v>
      </c>
      <c r="M91" s="6">
        <f t="shared" si="3"/>
        <v>19711.982450331154</v>
      </c>
    </row>
    <row r="92" spans="2:13" ht="45">
      <c r="B92" s="9" t="s">
        <v>647</v>
      </c>
      <c r="C92" s="9">
        <v>1972581940</v>
      </c>
      <c r="D92" s="9" t="s">
        <v>2045</v>
      </c>
      <c r="E92" s="9" t="s">
        <v>647</v>
      </c>
      <c r="F92" s="7" t="s">
        <v>2503</v>
      </c>
      <c r="G92" s="9" t="s">
        <v>1582</v>
      </c>
      <c r="H92" s="9" t="s">
        <v>1581</v>
      </c>
      <c r="I92" s="202">
        <v>8865664.2400000002</v>
      </c>
      <c r="J92" s="202">
        <v>1118716.2169117648</v>
      </c>
      <c r="K92" s="202">
        <f t="shared" si="2"/>
        <v>1118716.2169117648</v>
      </c>
      <c r="L92" s="204">
        <v>2420202.2200000002</v>
      </c>
      <c r="M92" s="6">
        <f t="shared" si="3"/>
        <v>1301486.0030882354</v>
      </c>
    </row>
    <row r="93" spans="2:13" ht="30">
      <c r="B93" s="9" t="s">
        <v>650</v>
      </c>
      <c r="C93" s="9">
        <v>1326025701</v>
      </c>
      <c r="D93" s="9" t="s">
        <v>2044</v>
      </c>
      <c r="E93" s="9" t="s">
        <v>650</v>
      </c>
      <c r="F93" s="7" t="s">
        <v>2043</v>
      </c>
      <c r="G93" s="9" t="s">
        <v>1578</v>
      </c>
      <c r="H93" s="9" t="s">
        <v>1577</v>
      </c>
      <c r="I93" s="202">
        <v>251336.76000000004</v>
      </c>
      <c r="J93" s="202">
        <v>54155.317749999987</v>
      </c>
      <c r="K93" s="202">
        <f t="shared" si="2"/>
        <v>54155.317749999987</v>
      </c>
      <c r="L93" s="204">
        <v>154697.48000000001</v>
      </c>
      <c r="M93" s="6">
        <f t="shared" si="3"/>
        <v>100542.16225000002</v>
      </c>
    </row>
    <row r="94" spans="2:13" ht="30">
      <c r="B94" s="9" t="s">
        <v>85</v>
      </c>
      <c r="C94" s="9">
        <v>1891765178</v>
      </c>
      <c r="D94" s="9" t="s">
        <v>2041</v>
      </c>
      <c r="E94" s="9" t="s">
        <v>85</v>
      </c>
      <c r="F94" s="7" t="s">
        <v>2040</v>
      </c>
      <c r="G94" s="9" t="s">
        <v>1582</v>
      </c>
      <c r="H94" s="9" t="s">
        <v>1581</v>
      </c>
      <c r="I94" s="202">
        <v>246869793.71999997</v>
      </c>
      <c r="J94" s="202">
        <v>68667132.045751616</v>
      </c>
      <c r="K94" s="202">
        <f t="shared" si="2"/>
        <v>68667132.045751616</v>
      </c>
      <c r="L94" s="204">
        <v>77274442.219999999</v>
      </c>
      <c r="M94" s="6">
        <f t="shared" si="3"/>
        <v>8607310.1742483824</v>
      </c>
    </row>
    <row r="95" spans="2:13" ht="30">
      <c r="B95" s="9" t="s">
        <v>662</v>
      </c>
      <c r="C95" s="9">
        <v>1386652527</v>
      </c>
      <c r="D95" s="9" t="s">
        <v>2037</v>
      </c>
      <c r="E95" s="9" t="s">
        <v>662</v>
      </c>
      <c r="F95" s="7" t="s">
        <v>2036</v>
      </c>
      <c r="G95" s="9" t="s">
        <v>1582</v>
      </c>
      <c r="H95" s="9" t="s">
        <v>1581</v>
      </c>
      <c r="I95" s="202">
        <v>2785633.0200000014</v>
      </c>
      <c r="J95" s="202">
        <v>103004.72189349114</v>
      </c>
      <c r="K95" s="202">
        <f t="shared" si="2"/>
        <v>103004.72189349114</v>
      </c>
      <c r="L95" s="204">
        <v>690279.86</v>
      </c>
      <c r="M95" s="6">
        <f t="shared" si="3"/>
        <v>587275.13810650888</v>
      </c>
    </row>
    <row r="96" spans="2:13" ht="45">
      <c r="B96" s="9" t="s">
        <v>88</v>
      </c>
      <c r="C96" s="9">
        <v>1780823021</v>
      </c>
      <c r="D96" s="9" t="s">
        <v>2033</v>
      </c>
      <c r="E96" s="9" t="s">
        <v>88</v>
      </c>
      <c r="F96" s="7" t="s">
        <v>3669</v>
      </c>
      <c r="G96" s="9" t="s">
        <v>1578</v>
      </c>
      <c r="H96" s="9" t="s">
        <v>1577</v>
      </c>
      <c r="I96" s="202">
        <v>3911095.2700000014</v>
      </c>
      <c r="J96" s="202">
        <v>823323.56662251637</v>
      </c>
      <c r="K96" s="202">
        <f t="shared" si="2"/>
        <v>823323.56662251637</v>
      </c>
      <c r="L96" s="204">
        <v>1048685.1000000001</v>
      </c>
      <c r="M96" s="6">
        <f t="shared" si="3"/>
        <v>225361.53337748372</v>
      </c>
    </row>
    <row r="97" spans="2:13" ht="45">
      <c r="B97" s="9" t="s">
        <v>614</v>
      </c>
      <c r="C97" s="9">
        <v>1437156361</v>
      </c>
      <c r="D97" s="9" t="s">
        <v>2066</v>
      </c>
      <c r="E97" s="9" t="s">
        <v>614</v>
      </c>
      <c r="F97" s="7" t="s">
        <v>3670</v>
      </c>
      <c r="G97" s="9" t="s">
        <v>1578</v>
      </c>
      <c r="H97" s="9" t="s">
        <v>1577</v>
      </c>
      <c r="I97" s="202">
        <v>485506.8</v>
      </c>
      <c r="J97" s="202">
        <v>97976.021500000003</v>
      </c>
      <c r="K97" s="202">
        <f t="shared" si="2"/>
        <v>97976.021500000003</v>
      </c>
      <c r="L97" s="204">
        <v>156349.06</v>
      </c>
      <c r="M97" s="6">
        <f t="shared" si="3"/>
        <v>58373.038499999995</v>
      </c>
    </row>
    <row r="98" spans="2:13" ht="30">
      <c r="B98" s="9" t="s">
        <v>665</v>
      </c>
      <c r="C98" s="9">
        <v>1720096019</v>
      </c>
      <c r="D98" s="9" t="s">
        <v>2032</v>
      </c>
      <c r="E98" s="9" t="s">
        <v>665</v>
      </c>
      <c r="F98" s="7" t="s">
        <v>2327</v>
      </c>
      <c r="G98" s="9" t="s">
        <v>1578</v>
      </c>
      <c r="H98" s="9" t="s">
        <v>1577</v>
      </c>
      <c r="I98" s="202">
        <v>2551074.1199999996</v>
      </c>
      <c r="J98" s="202">
        <v>294081.56149999995</v>
      </c>
      <c r="K98" s="202">
        <f t="shared" si="2"/>
        <v>294081.56149999995</v>
      </c>
      <c r="L98" s="204">
        <v>213045.3</v>
      </c>
      <c r="M98" s="6">
        <f t="shared" si="3"/>
        <v>-81036.261499999964</v>
      </c>
    </row>
    <row r="99" spans="2:13" ht="30">
      <c r="B99" s="9" t="s">
        <v>668</v>
      </c>
      <c r="C99" s="9">
        <v>1790702371</v>
      </c>
      <c r="D99" s="9" t="s">
        <v>2031</v>
      </c>
      <c r="E99" s="9" t="s">
        <v>668</v>
      </c>
      <c r="F99" s="7" t="s">
        <v>2323</v>
      </c>
      <c r="G99" s="9" t="s">
        <v>1578</v>
      </c>
      <c r="H99" s="9" t="s">
        <v>1577</v>
      </c>
      <c r="I99" s="202">
        <v>1552502.1499999997</v>
      </c>
      <c r="J99" s="202">
        <v>548218.19674999989</v>
      </c>
      <c r="K99" s="202">
        <f t="shared" si="2"/>
        <v>548218.19674999989</v>
      </c>
      <c r="L99" s="204">
        <v>757621.05</v>
      </c>
      <c r="M99" s="6">
        <f t="shared" si="3"/>
        <v>209402.85325000016</v>
      </c>
    </row>
    <row r="100" spans="2:13" ht="30">
      <c r="B100" s="9" t="s">
        <v>2731</v>
      </c>
      <c r="C100" s="9">
        <v>1972517365</v>
      </c>
      <c r="D100" s="9" t="s">
        <v>2030</v>
      </c>
      <c r="E100" s="9" t="s">
        <v>2731</v>
      </c>
      <c r="F100" s="7" t="s">
        <v>2027</v>
      </c>
      <c r="G100" s="9" t="s">
        <v>1582</v>
      </c>
      <c r="H100" s="9" t="s">
        <v>1581</v>
      </c>
      <c r="I100" s="202">
        <v>50364386.229999974</v>
      </c>
      <c r="J100" s="202">
        <v>1630163.7124999999</v>
      </c>
      <c r="K100" s="202">
        <f t="shared" si="2"/>
        <v>1630163.7124999999</v>
      </c>
      <c r="L100" s="204">
        <v>6913519.2999999998</v>
      </c>
      <c r="M100" s="6">
        <f t="shared" si="3"/>
        <v>5283355.5875000004</v>
      </c>
    </row>
    <row r="101" spans="2:13" ht="90">
      <c r="B101" s="9" t="s">
        <v>1399</v>
      </c>
      <c r="C101" s="9">
        <v>1952784985</v>
      </c>
      <c r="D101" s="9" t="s">
        <v>2732</v>
      </c>
      <c r="E101" s="9" t="s">
        <v>1399</v>
      </c>
      <c r="F101" s="7" t="s">
        <v>2451</v>
      </c>
      <c r="G101" s="9" t="s">
        <v>1582</v>
      </c>
      <c r="H101" s="9" t="s">
        <v>1581</v>
      </c>
      <c r="I101" s="202">
        <v>107575</v>
      </c>
      <c r="J101" s="202">
        <v>37624.087499999994</v>
      </c>
      <c r="K101" s="202">
        <f t="shared" si="2"/>
        <v>37624.087499999994</v>
      </c>
      <c r="L101" s="204">
        <v>22745.07</v>
      </c>
      <c r="M101" s="6">
        <f t="shared" si="3"/>
        <v>-14879.017499999994</v>
      </c>
    </row>
    <row r="102" spans="2:13" ht="45">
      <c r="B102" s="9" t="s">
        <v>94</v>
      </c>
      <c r="C102" s="9">
        <v>1407010622</v>
      </c>
      <c r="D102" s="9" t="s">
        <v>2025</v>
      </c>
      <c r="E102" s="9" t="s">
        <v>94</v>
      </c>
      <c r="F102" s="7" t="s">
        <v>2654</v>
      </c>
      <c r="G102" s="9" t="s">
        <v>1582</v>
      </c>
      <c r="H102" s="9" t="s">
        <v>1581</v>
      </c>
      <c r="I102" s="202">
        <v>6423378.5799999991</v>
      </c>
      <c r="J102" s="202">
        <v>257608.04216867467</v>
      </c>
      <c r="K102" s="202">
        <f t="shared" si="2"/>
        <v>257608.04216867467</v>
      </c>
      <c r="L102" s="204">
        <v>1320698.03</v>
      </c>
      <c r="M102" s="6">
        <f t="shared" si="3"/>
        <v>1063089.9878313253</v>
      </c>
    </row>
    <row r="103" spans="2:13" ht="45">
      <c r="B103" s="9" t="s">
        <v>674</v>
      </c>
      <c r="C103" s="9">
        <v>1316197767</v>
      </c>
      <c r="D103" s="9" t="s">
        <v>2024</v>
      </c>
      <c r="E103" s="9" t="s">
        <v>674</v>
      </c>
      <c r="F103" s="7" t="s">
        <v>2339</v>
      </c>
      <c r="G103" s="9" t="s">
        <v>1578</v>
      </c>
      <c r="H103" s="9" t="s">
        <v>1577</v>
      </c>
      <c r="I103" s="202">
        <v>360421.6</v>
      </c>
      <c r="J103" s="202">
        <v>137540.58374999999</v>
      </c>
      <c r="K103" s="202">
        <f t="shared" si="2"/>
        <v>137540.58374999999</v>
      </c>
      <c r="L103" s="204">
        <v>195222.76</v>
      </c>
      <c r="M103" s="6">
        <f t="shared" si="3"/>
        <v>57682.176250000019</v>
      </c>
    </row>
    <row r="104" spans="2:13" ht="45">
      <c r="B104" s="9" t="s">
        <v>1479</v>
      </c>
      <c r="C104" s="9">
        <v>1114435260</v>
      </c>
      <c r="D104" s="9" t="s">
        <v>2151</v>
      </c>
      <c r="E104" s="9" t="s">
        <v>1479</v>
      </c>
      <c r="F104" s="7" t="s">
        <v>2393</v>
      </c>
      <c r="G104" s="9" t="s">
        <v>1582</v>
      </c>
      <c r="H104" s="9" t="s">
        <v>1577</v>
      </c>
      <c r="I104" s="202">
        <v>5005089.78</v>
      </c>
      <c r="J104" s="202">
        <v>947728.36805031472</v>
      </c>
      <c r="K104" s="202">
        <f t="shared" si="2"/>
        <v>947728.36805031472</v>
      </c>
      <c r="L104" s="204">
        <v>151994.56</v>
      </c>
      <c r="M104" s="6">
        <f t="shared" si="3"/>
        <v>-795733.80805031466</v>
      </c>
    </row>
    <row r="105" spans="2:13" ht="30">
      <c r="B105" s="9" t="s">
        <v>677</v>
      </c>
      <c r="C105" s="9">
        <v>1063500270</v>
      </c>
      <c r="D105" s="9" t="s">
        <v>2023</v>
      </c>
      <c r="E105" s="9" t="s">
        <v>677</v>
      </c>
      <c r="F105" s="7" t="s">
        <v>2022</v>
      </c>
      <c r="G105" s="9" t="s">
        <v>1582</v>
      </c>
      <c r="H105" s="9" t="s">
        <v>1577</v>
      </c>
      <c r="I105" s="202">
        <v>203502.31999999998</v>
      </c>
      <c r="J105" s="202">
        <v>59395.933275976029</v>
      </c>
      <c r="K105" s="202">
        <f t="shared" si="2"/>
        <v>59395.933275976029</v>
      </c>
      <c r="L105" s="204">
        <v>105719.46</v>
      </c>
      <c r="M105" s="6">
        <f t="shared" si="3"/>
        <v>46323.526724023977</v>
      </c>
    </row>
    <row r="106" spans="2:13" ht="45">
      <c r="B106" s="9" t="s">
        <v>100</v>
      </c>
      <c r="C106" s="9">
        <v>1568848059</v>
      </c>
      <c r="D106" s="9" t="s">
        <v>2019</v>
      </c>
      <c r="E106" s="9" t="s">
        <v>100</v>
      </c>
      <c r="F106" s="7" t="s">
        <v>2699</v>
      </c>
      <c r="G106" s="9" t="s">
        <v>1582</v>
      </c>
      <c r="H106" s="9" t="s">
        <v>1581</v>
      </c>
      <c r="I106" s="202">
        <v>854336.59000000008</v>
      </c>
      <c r="J106" s="202">
        <v>10578.46625766871</v>
      </c>
      <c r="K106" s="202">
        <f t="shared" si="2"/>
        <v>10578.46625766871</v>
      </c>
      <c r="L106" s="204">
        <v>241401.98</v>
      </c>
      <c r="M106" s="6">
        <f t="shared" si="3"/>
        <v>230823.5137423313</v>
      </c>
    </row>
    <row r="107" spans="2:13" ht="60">
      <c r="B107" s="9" t="s">
        <v>656</v>
      </c>
      <c r="C107" s="9">
        <v>1639176456</v>
      </c>
      <c r="D107" s="9" t="s">
        <v>2039</v>
      </c>
      <c r="E107" s="9" t="s">
        <v>656</v>
      </c>
      <c r="F107" s="7" t="s">
        <v>3671</v>
      </c>
      <c r="G107" s="9" t="s">
        <v>1578</v>
      </c>
      <c r="H107" s="9" t="s">
        <v>1577</v>
      </c>
      <c r="I107" s="202">
        <v>1015675.3700000001</v>
      </c>
      <c r="J107" s="202">
        <v>282629.09174999996</v>
      </c>
      <c r="K107" s="202">
        <f t="shared" si="2"/>
        <v>282629.09174999996</v>
      </c>
      <c r="L107" s="204">
        <v>388439.54</v>
      </c>
      <c r="M107" s="6">
        <f t="shared" si="3"/>
        <v>105810.44825000002</v>
      </c>
    </row>
    <row r="108" spans="2:13" ht="45">
      <c r="B108" s="9" t="s">
        <v>1563</v>
      </c>
      <c r="C108" s="9">
        <v>1932123247</v>
      </c>
      <c r="D108" s="9" t="s">
        <v>1793</v>
      </c>
      <c r="E108" s="9" t="s">
        <v>1563</v>
      </c>
      <c r="F108" s="7" t="s">
        <v>3672</v>
      </c>
      <c r="G108" s="9" t="s">
        <v>1578</v>
      </c>
      <c r="H108" s="9" t="s">
        <v>1581</v>
      </c>
      <c r="I108" s="202">
        <v>302271955.72000003</v>
      </c>
      <c r="J108" s="202">
        <v>33547650</v>
      </c>
      <c r="K108" s="202">
        <f t="shared" si="2"/>
        <v>33547650</v>
      </c>
      <c r="L108" s="204">
        <v>64424793.729999997</v>
      </c>
      <c r="M108" s="6">
        <f t="shared" si="3"/>
        <v>30877143.729999997</v>
      </c>
    </row>
    <row r="109" spans="2:13" ht="30">
      <c r="B109" s="9" t="s">
        <v>680</v>
      </c>
      <c r="C109" s="9">
        <v>1861690364</v>
      </c>
      <c r="D109" s="9" t="s">
        <v>1838</v>
      </c>
      <c r="E109" s="9" t="s">
        <v>680</v>
      </c>
      <c r="F109" s="7" t="s">
        <v>2629</v>
      </c>
      <c r="G109" s="9" t="s">
        <v>1582</v>
      </c>
      <c r="H109" s="9" t="s">
        <v>1581</v>
      </c>
      <c r="I109" s="202">
        <v>5099377.5</v>
      </c>
      <c r="J109" s="202">
        <v>219601.28915662647</v>
      </c>
      <c r="K109" s="202">
        <f t="shared" si="2"/>
        <v>219601.28915662647</v>
      </c>
      <c r="L109" s="204">
        <v>860264.98</v>
      </c>
      <c r="M109" s="6">
        <f t="shared" si="3"/>
        <v>640663.69084337354</v>
      </c>
    </row>
    <row r="110" spans="2:13" ht="45">
      <c r="B110" s="9" t="s">
        <v>106</v>
      </c>
      <c r="C110" s="9">
        <v>1134108053</v>
      </c>
      <c r="D110" s="9" t="s">
        <v>2018</v>
      </c>
      <c r="E110" s="9" t="s">
        <v>106</v>
      </c>
      <c r="F110" s="7" t="s">
        <v>2344</v>
      </c>
      <c r="G110" s="9" t="s">
        <v>1578</v>
      </c>
      <c r="H110" s="9" t="s">
        <v>1581</v>
      </c>
      <c r="I110" s="202">
        <v>1369047.4</v>
      </c>
      <c r="J110" s="202">
        <v>358697.15024999995</v>
      </c>
      <c r="K110" s="202">
        <f t="shared" si="2"/>
        <v>358697.15024999995</v>
      </c>
      <c r="L110" s="204">
        <v>737533.21</v>
      </c>
      <c r="M110" s="6">
        <f t="shared" si="3"/>
        <v>378836.05975000001</v>
      </c>
    </row>
    <row r="111" spans="2:13" ht="60">
      <c r="B111" s="9" t="s">
        <v>1319</v>
      </c>
      <c r="C111" s="9">
        <v>1053317362</v>
      </c>
      <c r="D111" s="9" t="s">
        <v>2017</v>
      </c>
      <c r="E111" s="9" t="s">
        <v>1319</v>
      </c>
      <c r="F111" s="7" t="s">
        <v>2493</v>
      </c>
      <c r="G111" s="9" t="s">
        <v>1582</v>
      </c>
      <c r="H111" s="9" t="s">
        <v>1581</v>
      </c>
      <c r="I111" s="202">
        <v>71031663.090000004</v>
      </c>
      <c r="J111" s="202">
        <v>8387776.1479290063</v>
      </c>
      <c r="K111" s="202">
        <f t="shared" si="2"/>
        <v>8387776.1479290063</v>
      </c>
      <c r="L111" s="204">
        <v>23225649.079999998</v>
      </c>
      <c r="M111" s="6">
        <f t="shared" si="3"/>
        <v>14837872.932070993</v>
      </c>
    </row>
    <row r="112" spans="2:13" ht="60">
      <c r="B112" s="9" t="s">
        <v>683</v>
      </c>
      <c r="C112" s="9">
        <v>1568454403</v>
      </c>
      <c r="D112" s="9" t="s">
        <v>2016</v>
      </c>
      <c r="E112" s="9" t="s">
        <v>683</v>
      </c>
      <c r="F112" s="7" t="s">
        <v>2445</v>
      </c>
      <c r="G112" s="9" t="s">
        <v>1578</v>
      </c>
      <c r="H112" s="9" t="s">
        <v>1581</v>
      </c>
      <c r="I112" s="202">
        <v>3023729.5</v>
      </c>
      <c r="J112" s="202">
        <v>929623.8639106144</v>
      </c>
      <c r="K112" s="202">
        <f t="shared" si="2"/>
        <v>929623.8639106144</v>
      </c>
      <c r="L112" s="204">
        <v>1019685.34</v>
      </c>
      <c r="M112" s="6">
        <f t="shared" si="3"/>
        <v>90061.476089385571</v>
      </c>
    </row>
    <row r="113" spans="2:13" ht="45">
      <c r="B113" s="9" t="s">
        <v>686</v>
      </c>
      <c r="C113" s="9">
        <v>1407229529</v>
      </c>
      <c r="D113" s="9" t="s">
        <v>2014</v>
      </c>
      <c r="E113" s="9" t="s">
        <v>686</v>
      </c>
      <c r="F113" s="7" t="s">
        <v>2248</v>
      </c>
      <c r="G113" s="9" t="s">
        <v>1578</v>
      </c>
      <c r="H113" s="9" t="s">
        <v>1581</v>
      </c>
      <c r="I113" s="202">
        <v>889373.5</v>
      </c>
      <c r="J113" s="202">
        <v>37312.294117647063</v>
      </c>
      <c r="K113" s="202">
        <f t="shared" si="2"/>
        <v>37312.294117647063</v>
      </c>
      <c r="L113" s="204">
        <v>366649.57</v>
      </c>
      <c r="M113" s="6">
        <f t="shared" si="3"/>
        <v>329337.27588235296</v>
      </c>
    </row>
    <row r="114" spans="2:13" ht="45">
      <c r="B114" s="9" t="s">
        <v>1078</v>
      </c>
      <c r="C114" s="9">
        <v>1124076401</v>
      </c>
      <c r="D114" s="9" t="s">
        <v>2015</v>
      </c>
      <c r="E114" s="9" t="s">
        <v>1078</v>
      </c>
      <c r="F114" s="7" t="s">
        <v>2248</v>
      </c>
      <c r="G114" s="9" t="s">
        <v>1578</v>
      </c>
      <c r="H114" s="9" t="s">
        <v>1581</v>
      </c>
      <c r="I114" s="202">
        <v>16596952.199999999</v>
      </c>
      <c r="J114" s="202">
        <v>1857076.3586928106</v>
      </c>
      <c r="K114" s="202">
        <f t="shared" si="2"/>
        <v>1857076.3586928106</v>
      </c>
      <c r="L114" s="204">
        <v>3671378.6</v>
      </c>
      <c r="M114" s="6">
        <f t="shared" si="3"/>
        <v>1814302.2413071895</v>
      </c>
    </row>
    <row r="115" spans="2:13" ht="45">
      <c r="B115" s="9" t="s">
        <v>97</v>
      </c>
      <c r="C115" s="9">
        <v>1437148020</v>
      </c>
      <c r="D115" s="9" t="s">
        <v>2021</v>
      </c>
      <c r="E115" s="9" t="s">
        <v>97</v>
      </c>
      <c r="F115" s="7" t="s">
        <v>3673</v>
      </c>
      <c r="G115" s="9" t="s">
        <v>1578</v>
      </c>
      <c r="H115" s="9" t="s">
        <v>1581</v>
      </c>
      <c r="I115" s="202">
        <v>4253741.5199999996</v>
      </c>
      <c r="J115" s="202">
        <v>668491.28370860894</v>
      </c>
      <c r="K115" s="202">
        <f t="shared" si="2"/>
        <v>668491.28370860894</v>
      </c>
      <c r="L115" s="204">
        <v>1111732.3600000001</v>
      </c>
      <c r="M115" s="6">
        <f t="shared" si="3"/>
        <v>443241.07629139116</v>
      </c>
    </row>
    <row r="116" spans="2:13" ht="30">
      <c r="B116" s="9" t="s">
        <v>111</v>
      </c>
      <c r="C116" s="9">
        <v>1326134255</v>
      </c>
      <c r="D116" s="9" t="s">
        <v>2761</v>
      </c>
      <c r="E116" s="9" t="s">
        <v>111</v>
      </c>
      <c r="F116" s="7" t="s">
        <v>2011</v>
      </c>
      <c r="G116" s="9" t="s">
        <v>1578</v>
      </c>
      <c r="H116" s="9" t="s">
        <v>1577</v>
      </c>
      <c r="I116" s="202">
        <v>4201940.51</v>
      </c>
      <c r="J116" s="202">
        <v>676931.98312925163</v>
      </c>
      <c r="K116" s="202">
        <f t="shared" si="2"/>
        <v>676931.98312925163</v>
      </c>
      <c r="L116" s="204">
        <v>1155231.94</v>
      </c>
      <c r="M116" s="6">
        <f t="shared" si="3"/>
        <v>478299.95687074831</v>
      </c>
    </row>
    <row r="117" spans="2:13" ht="30">
      <c r="B117" s="9" t="s">
        <v>114</v>
      </c>
      <c r="C117" s="9">
        <v>1548286172</v>
      </c>
      <c r="D117" s="9" t="s">
        <v>2010</v>
      </c>
      <c r="E117" s="9" t="s">
        <v>114</v>
      </c>
      <c r="F117" s="7" t="s">
        <v>2009</v>
      </c>
      <c r="G117" s="9" t="s">
        <v>1582</v>
      </c>
      <c r="H117" s="9" t="s">
        <v>1581</v>
      </c>
      <c r="I117" s="202">
        <v>145602636.44</v>
      </c>
      <c r="J117" s="202">
        <v>42369101.760000005</v>
      </c>
      <c r="K117" s="202">
        <f t="shared" si="2"/>
        <v>42369101.760000005</v>
      </c>
      <c r="L117" s="204">
        <v>93429105.810000002</v>
      </c>
      <c r="M117" s="6">
        <f t="shared" si="3"/>
        <v>51060004.049999997</v>
      </c>
    </row>
    <row r="118" spans="2:13" ht="60">
      <c r="B118" s="9" t="s">
        <v>117</v>
      </c>
      <c r="C118" s="9">
        <v>1669655601</v>
      </c>
      <c r="D118" s="9" t="s">
        <v>2008</v>
      </c>
      <c r="E118" s="9" t="s">
        <v>117</v>
      </c>
      <c r="F118" s="7" t="s">
        <v>2600</v>
      </c>
      <c r="G118" s="9" t="s">
        <v>1582</v>
      </c>
      <c r="H118" s="9" t="s">
        <v>1581</v>
      </c>
      <c r="I118" s="202">
        <v>1361886.67</v>
      </c>
      <c r="J118" s="202">
        <v>11978.496855345915</v>
      </c>
      <c r="K118" s="202">
        <f t="shared" si="2"/>
        <v>11978.496855345915</v>
      </c>
      <c r="L118" s="204">
        <v>295311.5</v>
      </c>
      <c r="M118" s="6">
        <f t="shared" si="3"/>
        <v>283333.0031446541</v>
      </c>
    </row>
    <row r="119" spans="2:13" ht="60">
      <c r="B119" s="9" t="s">
        <v>692</v>
      </c>
      <c r="C119" s="9">
        <v>1689650921</v>
      </c>
      <c r="D119" s="9" t="s">
        <v>2003</v>
      </c>
      <c r="E119" s="9" t="s">
        <v>692</v>
      </c>
      <c r="F119" s="7" t="s">
        <v>2329</v>
      </c>
      <c r="G119" s="9" t="s">
        <v>1578</v>
      </c>
      <c r="H119" s="9" t="s">
        <v>1581</v>
      </c>
      <c r="I119" s="202">
        <v>2187624.71</v>
      </c>
      <c r="J119" s="202">
        <v>441544.66199999995</v>
      </c>
      <c r="K119" s="202">
        <f t="shared" si="2"/>
        <v>441544.66199999995</v>
      </c>
      <c r="L119" s="204">
        <v>898845.99</v>
      </c>
      <c r="M119" s="6">
        <f t="shared" si="3"/>
        <v>457301.32800000004</v>
      </c>
    </row>
    <row r="120" spans="2:13" ht="45">
      <c r="B120" s="9" t="s">
        <v>120</v>
      </c>
      <c r="C120" s="9">
        <v>1679903967</v>
      </c>
      <c r="D120" s="9" t="s">
        <v>2002</v>
      </c>
      <c r="E120" s="9" t="s">
        <v>120</v>
      </c>
      <c r="F120" s="7" t="s">
        <v>2262</v>
      </c>
      <c r="G120" s="9" t="s">
        <v>1582</v>
      </c>
      <c r="H120" s="9" t="s">
        <v>1581</v>
      </c>
      <c r="I120" s="202">
        <v>7021395.75</v>
      </c>
      <c r="J120" s="202">
        <v>308368.89375000005</v>
      </c>
      <c r="K120" s="202">
        <f t="shared" si="2"/>
        <v>308368.89375000005</v>
      </c>
      <c r="L120" s="204">
        <v>1444385.36</v>
      </c>
      <c r="M120" s="6">
        <f t="shared" si="3"/>
        <v>1136016.4662500001</v>
      </c>
    </row>
    <row r="121" spans="2:13" ht="45">
      <c r="B121" s="9" t="s">
        <v>1162</v>
      </c>
      <c r="C121" s="9">
        <v>1740273994</v>
      </c>
      <c r="D121" s="9" t="s">
        <v>2001</v>
      </c>
      <c r="E121" s="9" t="s">
        <v>1162</v>
      </c>
      <c r="F121" s="7" t="s">
        <v>2316</v>
      </c>
      <c r="G121" s="9" t="s">
        <v>1578</v>
      </c>
      <c r="H121" s="9" t="s">
        <v>1581</v>
      </c>
      <c r="I121" s="202">
        <v>28042244.619999997</v>
      </c>
      <c r="J121" s="202">
        <v>2206708.0386740323</v>
      </c>
      <c r="K121" s="202">
        <f t="shared" si="2"/>
        <v>2206708.0386740323</v>
      </c>
      <c r="L121" s="204">
        <v>7831753.0499999998</v>
      </c>
      <c r="M121" s="6">
        <f t="shared" si="3"/>
        <v>5625045.0113259675</v>
      </c>
    </row>
    <row r="122" spans="2:13" ht="30">
      <c r="B122" s="9" t="s">
        <v>123</v>
      </c>
      <c r="C122" s="9">
        <v>1003192311</v>
      </c>
      <c r="D122" s="9" t="s">
        <v>2000</v>
      </c>
      <c r="E122" s="9" t="s">
        <v>123</v>
      </c>
      <c r="F122" s="7" t="s">
        <v>1999</v>
      </c>
      <c r="G122" s="9" t="s">
        <v>1582</v>
      </c>
      <c r="H122" s="9" t="s">
        <v>1581</v>
      </c>
      <c r="I122" s="202">
        <v>3103019.1400000006</v>
      </c>
      <c r="J122" s="202">
        <v>354283.49872832367</v>
      </c>
      <c r="K122" s="202">
        <f t="shared" si="2"/>
        <v>354283.49872832367</v>
      </c>
      <c r="L122" s="204">
        <v>993313.66</v>
      </c>
      <c r="M122" s="6">
        <f t="shared" si="3"/>
        <v>639030.16127167642</v>
      </c>
    </row>
    <row r="123" spans="2:13" ht="30">
      <c r="B123" s="9" t="s">
        <v>126</v>
      </c>
      <c r="C123" s="9">
        <v>1558659714</v>
      </c>
      <c r="D123" s="9" t="s">
        <v>1998</v>
      </c>
      <c r="E123" s="9" t="s">
        <v>126</v>
      </c>
      <c r="F123" s="7" t="s">
        <v>1997</v>
      </c>
      <c r="G123" s="9" t="s">
        <v>1582</v>
      </c>
      <c r="H123" s="9" t="s">
        <v>1581</v>
      </c>
      <c r="I123" s="202">
        <v>25842449.729999997</v>
      </c>
      <c r="J123" s="202">
        <v>2212158.2356687896</v>
      </c>
      <c r="K123" s="202">
        <f t="shared" si="2"/>
        <v>2212158.2356687896</v>
      </c>
      <c r="L123" s="204">
        <v>5743541.3099999996</v>
      </c>
      <c r="M123" s="6">
        <f t="shared" si="3"/>
        <v>3531383.07433121</v>
      </c>
    </row>
    <row r="124" spans="2:13" ht="60">
      <c r="B124" s="9" t="s">
        <v>701</v>
      </c>
      <c r="C124" s="9">
        <v>1316936990</v>
      </c>
      <c r="D124" s="9" t="s">
        <v>1996</v>
      </c>
      <c r="E124" s="9" t="s">
        <v>701</v>
      </c>
      <c r="F124" s="7" t="s">
        <v>2595</v>
      </c>
      <c r="G124" s="9" t="s">
        <v>1578</v>
      </c>
      <c r="H124" s="9" t="s">
        <v>1581</v>
      </c>
      <c r="I124" s="202">
        <v>43520542.659999996</v>
      </c>
      <c r="J124" s="202">
        <v>6871530.4868421052</v>
      </c>
      <c r="K124" s="202">
        <f t="shared" si="2"/>
        <v>6871530.4868421052</v>
      </c>
      <c r="L124" s="204">
        <v>11885669.1</v>
      </c>
      <c r="M124" s="6">
        <f t="shared" si="3"/>
        <v>5014138.6131578945</v>
      </c>
    </row>
    <row r="125" spans="2:13" ht="45">
      <c r="B125" s="9" t="s">
        <v>704</v>
      </c>
      <c r="C125" s="9">
        <v>1770536120</v>
      </c>
      <c r="D125" s="9" t="s">
        <v>1995</v>
      </c>
      <c r="E125" s="9" t="s">
        <v>704</v>
      </c>
      <c r="F125" s="7" t="s">
        <v>2597</v>
      </c>
      <c r="G125" s="9" t="s">
        <v>1582</v>
      </c>
      <c r="H125" s="9" t="s">
        <v>1581</v>
      </c>
      <c r="I125" s="202">
        <v>120744639.23</v>
      </c>
      <c r="J125" s="202">
        <v>2914681.4150943402</v>
      </c>
      <c r="K125" s="202">
        <f t="shared" si="2"/>
        <v>2914681.4150943402</v>
      </c>
      <c r="L125" s="204">
        <v>11949225.16</v>
      </c>
      <c r="M125" s="6">
        <f t="shared" si="3"/>
        <v>9034543.7449056599</v>
      </c>
    </row>
    <row r="126" spans="2:13" ht="45">
      <c r="B126" s="9" t="s">
        <v>698</v>
      </c>
      <c r="C126" s="9">
        <v>1871583153</v>
      </c>
      <c r="D126" s="9" t="s">
        <v>1992</v>
      </c>
      <c r="E126" s="9" t="s">
        <v>698</v>
      </c>
      <c r="F126" s="7" t="s">
        <v>2319</v>
      </c>
      <c r="G126" s="9" t="s">
        <v>1578</v>
      </c>
      <c r="H126" s="9" t="s">
        <v>1577</v>
      </c>
      <c r="I126" s="202">
        <v>1062758.47</v>
      </c>
      <c r="J126" s="202">
        <v>242074.19399999996</v>
      </c>
      <c r="K126" s="202">
        <f t="shared" si="2"/>
        <v>242074.19399999996</v>
      </c>
      <c r="L126" s="204">
        <v>210577.94</v>
      </c>
      <c r="M126" s="6">
        <f t="shared" si="3"/>
        <v>-31496.253999999957</v>
      </c>
    </row>
    <row r="127" spans="2:13" ht="45">
      <c r="B127" s="9" t="s">
        <v>129</v>
      </c>
      <c r="C127" s="9">
        <v>1992172019</v>
      </c>
      <c r="D127" s="9" t="s">
        <v>1991</v>
      </c>
      <c r="E127" s="9" t="s">
        <v>129</v>
      </c>
      <c r="F127" s="7" t="s">
        <v>2470</v>
      </c>
      <c r="G127" s="9" t="s">
        <v>1582</v>
      </c>
      <c r="H127" s="9" t="s">
        <v>1581</v>
      </c>
      <c r="I127" s="202">
        <v>45663182.960000008</v>
      </c>
      <c r="J127" s="202">
        <v>421837.13537117897</v>
      </c>
      <c r="K127" s="202">
        <f t="shared" si="2"/>
        <v>421837.13537117897</v>
      </c>
      <c r="L127" s="204">
        <v>4150783.33</v>
      </c>
      <c r="M127" s="6">
        <f t="shared" si="3"/>
        <v>3728946.1946288212</v>
      </c>
    </row>
    <row r="128" spans="2:13" ht="60">
      <c r="B128" s="9" t="s">
        <v>132</v>
      </c>
      <c r="C128" s="9">
        <v>1669752234</v>
      </c>
      <c r="D128" s="9" t="s">
        <v>1990</v>
      </c>
      <c r="E128" s="9" t="s">
        <v>132</v>
      </c>
      <c r="F128" s="7" t="s">
        <v>2694</v>
      </c>
      <c r="G128" s="9" t="s">
        <v>1582</v>
      </c>
      <c r="H128" s="9" t="s">
        <v>1581</v>
      </c>
      <c r="I128" s="202">
        <v>83250551.300000012</v>
      </c>
      <c r="J128" s="202">
        <v>3388174.0674846629</v>
      </c>
      <c r="K128" s="202">
        <f t="shared" si="2"/>
        <v>3388174.0674846629</v>
      </c>
      <c r="L128" s="204">
        <v>6658046.0899999999</v>
      </c>
      <c r="M128" s="6">
        <f t="shared" si="3"/>
        <v>3269872.022515337</v>
      </c>
    </row>
    <row r="129" spans="2:13" ht="30">
      <c r="B129" s="9" t="s">
        <v>3606</v>
      </c>
      <c r="C129" s="9">
        <v>1356960132</v>
      </c>
      <c r="D129" s="9" t="s">
        <v>3607</v>
      </c>
      <c r="E129" s="9" t="s">
        <v>3606</v>
      </c>
      <c r="F129" s="7" t="s">
        <v>3608</v>
      </c>
      <c r="G129" s="9" t="s">
        <v>3675</v>
      </c>
      <c r="H129" s="9" t="s">
        <v>1581</v>
      </c>
      <c r="I129" s="202">
        <v>536839.12</v>
      </c>
      <c r="J129" s="202">
        <v>99478.58</v>
      </c>
      <c r="K129" s="202">
        <f t="shared" si="2"/>
        <v>99478.58</v>
      </c>
      <c r="L129" s="204">
        <v>96745.23</v>
      </c>
      <c r="M129" s="6">
        <f t="shared" si="3"/>
        <v>-2733.3500000000058</v>
      </c>
    </row>
    <row r="130" spans="2:13" ht="30">
      <c r="B130" s="9" t="s">
        <v>1337</v>
      </c>
      <c r="C130" s="9">
        <v>1063411767</v>
      </c>
      <c r="D130" s="9" t="s">
        <v>1989</v>
      </c>
      <c r="E130" s="9" t="s">
        <v>1337</v>
      </c>
      <c r="F130" s="7" t="s">
        <v>2394</v>
      </c>
      <c r="G130" s="9" t="s">
        <v>1582</v>
      </c>
      <c r="H130" s="9" t="s">
        <v>1581</v>
      </c>
      <c r="I130" s="202">
        <v>12753286.940000001</v>
      </c>
      <c r="J130" s="202">
        <v>942227.48025157233</v>
      </c>
      <c r="K130" s="202">
        <f t="shared" si="2"/>
        <v>942227.48025157233</v>
      </c>
      <c r="L130" s="204">
        <v>3252894.17</v>
      </c>
      <c r="M130" s="6">
        <f t="shared" si="3"/>
        <v>2310666.6897484278</v>
      </c>
    </row>
    <row r="131" spans="2:13" ht="45">
      <c r="B131" s="9" t="s">
        <v>2854</v>
      </c>
      <c r="C131" s="9" t="s">
        <v>2852</v>
      </c>
      <c r="D131" s="9" t="s">
        <v>2853</v>
      </c>
      <c r="E131" s="9" t="s">
        <v>2854</v>
      </c>
      <c r="F131" s="7" t="s">
        <v>3261</v>
      </c>
      <c r="G131" s="9" t="s">
        <v>1582</v>
      </c>
      <c r="H131" s="9" t="s">
        <v>1581</v>
      </c>
      <c r="I131" s="202">
        <v>280045.46999999997</v>
      </c>
      <c r="J131" s="202">
        <v>25463.070000000003</v>
      </c>
      <c r="K131" s="202">
        <f t="shared" si="2"/>
        <v>25463.070000000003</v>
      </c>
      <c r="L131" s="204">
        <v>42085.23</v>
      </c>
      <c r="M131" s="6">
        <f t="shared" si="3"/>
        <v>16622.16</v>
      </c>
    </row>
    <row r="132" spans="2:13" ht="45">
      <c r="B132" s="9" t="s">
        <v>135</v>
      </c>
      <c r="C132" s="9">
        <v>1235685892</v>
      </c>
      <c r="D132" s="9" t="s">
        <v>2006</v>
      </c>
      <c r="E132" s="9" t="s">
        <v>135</v>
      </c>
      <c r="F132" s="7" t="s">
        <v>2420</v>
      </c>
      <c r="G132" s="9" t="s">
        <v>1582</v>
      </c>
      <c r="H132" s="9" t="s">
        <v>1581</v>
      </c>
      <c r="I132" s="202">
        <v>1448947.4299999997</v>
      </c>
      <c r="J132" s="202">
        <v>206448.18119999999</v>
      </c>
      <c r="K132" s="202">
        <f t="shared" si="2"/>
        <v>206448.18119999999</v>
      </c>
      <c r="L132" s="204">
        <v>332599.8</v>
      </c>
      <c r="M132" s="6">
        <f t="shared" si="3"/>
        <v>126151.6188</v>
      </c>
    </row>
    <row r="133" spans="2:13" ht="30">
      <c r="B133" s="9" t="s">
        <v>3288</v>
      </c>
      <c r="C133" s="9">
        <v>1841294246</v>
      </c>
      <c r="D133" s="9" t="s">
        <v>1988</v>
      </c>
      <c r="E133" s="9" t="s">
        <v>3288</v>
      </c>
      <c r="F133" s="7" t="s">
        <v>1987</v>
      </c>
      <c r="G133" s="9" t="s">
        <v>1582</v>
      </c>
      <c r="H133" s="9" t="s">
        <v>1581</v>
      </c>
      <c r="I133" s="202">
        <v>2097169.0499999998</v>
      </c>
      <c r="J133" s="202">
        <v>283103.03178807942</v>
      </c>
      <c r="K133" s="202">
        <f t="shared" si="2"/>
        <v>283103.03178807942</v>
      </c>
      <c r="L133" s="204">
        <v>541711.68999999994</v>
      </c>
      <c r="M133" s="6">
        <f t="shared" si="3"/>
        <v>258608.65821192053</v>
      </c>
    </row>
    <row r="134" spans="2:13" ht="45">
      <c r="B134" s="9" t="s">
        <v>137</v>
      </c>
      <c r="C134" s="9">
        <v>1760417646</v>
      </c>
      <c r="D134" s="9" t="s">
        <v>1986</v>
      </c>
      <c r="E134" s="9" t="s">
        <v>137</v>
      </c>
      <c r="F134" s="7" t="s">
        <v>2381</v>
      </c>
      <c r="G134" s="9" t="s">
        <v>1578</v>
      </c>
      <c r="H134" s="9" t="s">
        <v>1577</v>
      </c>
      <c r="I134" s="202">
        <v>1501273.8599999999</v>
      </c>
      <c r="J134" s="202">
        <v>226234.30419354836</v>
      </c>
      <c r="K134" s="202">
        <f t="shared" si="2"/>
        <v>226234.30419354836</v>
      </c>
      <c r="L134" s="204">
        <v>196516.75</v>
      </c>
      <c r="M134" s="6">
        <f t="shared" si="3"/>
        <v>-29717.554193548363</v>
      </c>
    </row>
    <row r="135" spans="2:13" ht="45">
      <c r="B135" s="9" t="s">
        <v>710</v>
      </c>
      <c r="C135" s="9">
        <v>1598746703</v>
      </c>
      <c r="D135" s="9" t="s">
        <v>2154</v>
      </c>
      <c r="E135" s="9" t="s">
        <v>710</v>
      </c>
      <c r="F135" s="7" t="s">
        <v>2330</v>
      </c>
      <c r="G135" s="9" t="s">
        <v>1578</v>
      </c>
      <c r="H135" s="9" t="s">
        <v>1577</v>
      </c>
      <c r="I135" s="202">
        <v>198396.03000000003</v>
      </c>
      <c r="J135" s="202">
        <v>62924.388499999994</v>
      </c>
      <c r="K135" s="202">
        <f t="shared" ref="K135:K198" si="4">J135</f>
        <v>62924.388499999994</v>
      </c>
      <c r="L135" s="204">
        <v>106003</v>
      </c>
      <c r="M135" s="6">
        <f t="shared" si="3"/>
        <v>43078.611500000006</v>
      </c>
    </row>
    <row r="136" spans="2:13" ht="60">
      <c r="B136" s="9" t="s">
        <v>143</v>
      </c>
      <c r="C136" s="9">
        <v>1902047376</v>
      </c>
      <c r="D136" s="9" t="s">
        <v>1982</v>
      </c>
      <c r="E136" s="9" t="s">
        <v>143</v>
      </c>
      <c r="F136" s="7" t="s">
        <v>2255</v>
      </c>
      <c r="G136" s="9" t="s">
        <v>1582</v>
      </c>
      <c r="H136" s="9" t="s">
        <v>1581</v>
      </c>
      <c r="I136" s="202">
        <v>3364624.22</v>
      </c>
      <c r="J136" s="202">
        <v>203095.80624999999</v>
      </c>
      <c r="K136" s="202">
        <f t="shared" si="4"/>
        <v>203095.80624999999</v>
      </c>
      <c r="L136" s="204">
        <v>1130594.49</v>
      </c>
      <c r="M136" s="6">
        <f t="shared" ref="M136:M199" si="5">L136-K136</f>
        <v>927498.68374999997</v>
      </c>
    </row>
    <row r="137" spans="2:13" ht="60">
      <c r="B137" s="9" t="s">
        <v>515</v>
      </c>
      <c r="C137" s="9">
        <v>1770579591</v>
      </c>
      <c r="D137" s="9" t="s">
        <v>1981</v>
      </c>
      <c r="E137" s="9" t="s">
        <v>515</v>
      </c>
      <c r="F137" s="7" t="s">
        <v>2478</v>
      </c>
      <c r="G137" s="9" t="s">
        <v>1582</v>
      </c>
      <c r="H137" s="9" t="s">
        <v>1581</v>
      </c>
      <c r="I137" s="202">
        <v>18057477.439999998</v>
      </c>
      <c r="J137" s="202">
        <v>1819460.1343902438</v>
      </c>
      <c r="K137" s="202">
        <f t="shared" si="4"/>
        <v>1819460.1343902438</v>
      </c>
      <c r="L137" s="204">
        <v>2296911.13</v>
      </c>
      <c r="M137" s="6">
        <f t="shared" si="5"/>
        <v>477450.99560975609</v>
      </c>
    </row>
    <row r="138" spans="2:13" ht="30">
      <c r="B138" s="9" t="s">
        <v>713</v>
      </c>
      <c r="C138" s="9">
        <v>1447574819</v>
      </c>
      <c r="D138" s="9" t="s">
        <v>1980</v>
      </c>
      <c r="E138" s="9" t="s">
        <v>713</v>
      </c>
      <c r="F138" s="7" t="s">
        <v>2354</v>
      </c>
      <c r="G138" s="9" t="s">
        <v>1582</v>
      </c>
      <c r="H138" s="9" t="s">
        <v>1577</v>
      </c>
      <c r="I138" s="202">
        <v>3290388.0199999996</v>
      </c>
      <c r="J138" s="202">
        <v>566960.63727891154</v>
      </c>
      <c r="K138" s="202">
        <f t="shared" si="4"/>
        <v>566960.63727891154</v>
      </c>
      <c r="L138" s="204">
        <v>587992.34</v>
      </c>
      <c r="M138" s="6">
        <f t="shared" si="5"/>
        <v>21031.702721088426</v>
      </c>
    </row>
    <row r="139" spans="2:13" ht="45">
      <c r="B139" s="9" t="s">
        <v>146</v>
      </c>
      <c r="C139" s="9">
        <v>1922002674</v>
      </c>
      <c r="D139" s="9" t="s">
        <v>1979</v>
      </c>
      <c r="E139" s="9" t="s">
        <v>146</v>
      </c>
      <c r="F139" s="7" t="s">
        <v>2624</v>
      </c>
      <c r="G139" s="9" t="s">
        <v>1582</v>
      </c>
      <c r="H139" s="9" t="s">
        <v>1581</v>
      </c>
      <c r="I139" s="202">
        <v>454180.57999999996</v>
      </c>
      <c r="J139" s="202">
        <v>30626.933734939761</v>
      </c>
      <c r="K139" s="202">
        <f t="shared" si="4"/>
        <v>30626.933734939761</v>
      </c>
      <c r="L139" s="204">
        <v>170226.88</v>
      </c>
      <c r="M139" s="6">
        <f t="shared" si="5"/>
        <v>139599.94626506025</v>
      </c>
    </row>
    <row r="140" spans="2:13" ht="60">
      <c r="B140" s="9" t="s">
        <v>149</v>
      </c>
      <c r="C140" s="9">
        <v>1871599183</v>
      </c>
      <c r="D140" s="9" t="s">
        <v>1978</v>
      </c>
      <c r="E140" s="9" t="s">
        <v>149</v>
      </c>
      <c r="F140" s="7" t="s">
        <v>2257</v>
      </c>
      <c r="G140" s="9" t="s">
        <v>1582</v>
      </c>
      <c r="H140" s="9" t="s">
        <v>1581</v>
      </c>
      <c r="I140" s="202">
        <v>307441.43</v>
      </c>
      <c r="J140" s="202">
        <v>623.38124999999991</v>
      </c>
      <c r="K140" s="202">
        <f t="shared" si="4"/>
        <v>623.38124999999991</v>
      </c>
      <c r="L140" s="204">
        <v>123406.99</v>
      </c>
      <c r="M140" s="6">
        <f t="shared" si="5"/>
        <v>122783.60875</v>
      </c>
    </row>
    <row r="141" spans="2:13" ht="45">
      <c r="B141" s="9" t="s">
        <v>152</v>
      </c>
      <c r="C141" s="9">
        <v>1972071991</v>
      </c>
      <c r="D141" s="9" t="s">
        <v>1977</v>
      </c>
      <c r="E141" s="9" t="s">
        <v>152</v>
      </c>
      <c r="F141" s="7" t="s">
        <v>2379</v>
      </c>
      <c r="G141" s="9" t="s">
        <v>1582</v>
      </c>
      <c r="H141" s="9" t="s">
        <v>1581</v>
      </c>
      <c r="I141" s="202">
        <v>4125581.8899999997</v>
      </c>
      <c r="J141" s="202">
        <v>443628.08</v>
      </c>
      <c r="K141" s="202">
        <f t="shared" si="4"/>
        <v>443628.08</v>
      </c>
      <c r="L141" s="204">
        <v>1411609.1</v>
      </c>
      <c r="M141" s="6">
        <f t="shared" si="5"/>
        <v>967981.02</v>
      </c>
    </row>
    <row r="142" spans="2:13" ht="30">
      <c r="B142" s="9" t="s">
        <v>716</v>
      </c>
      <c r="C142" s="9">
        <v>1083619712</v>
      </c>
      <c r="D142" s="9" t="s">
        <v>2160</v>
      </c>
      <c r="E142" s="9" t="s">
        <v>716</v>
      </c>
      <c r="F142" s="7" t="s">
        <v>2346</v>
      </c>
      <c r="G142" s="9" t="s">
        <v>1578</v>
      </c>
      <c r="H142" s="9" t="s">
        <v>1577</v>
      </c>
      <c r="I142" s="202">
        <v>120597.5</v>
      </c>
      <c r="J142" s="202">
        <v>36270.307249999991</v>
      </c>
      <c r="K142" s="202">
        <f t="shared" si="4"/>
        <v>36270.307249999991</v>
      </c>
      <c r="L142" s="204">
        <v>107323.09</v>
      </c>
      <c r="M142" s="6">
        <f t="shared" si="5"/>
        <v>71052.782750000013</v>
      </c>
    </row>
    <row r="143" spans="2:13" ht="30">
      <c r="B143" s="9" t="s">
        <v>1405</v>
      </c>
      <c r="C143" s="9">
        <v>1396902540</v>
      </c>
      <c r="D143" s="9" t="s">
        <v>2734</v>
      </c>
      <c r="E143" s="9" t="s">
        <v>1405</v>
      </c>
      <c r="F143" s="7" t="s">
        <v>2274</v>
      </c>
      <c r="G143" s="9" t="s">
        <v>1582</v>
      </c>
      <c r="H143" s="9" t="s">
        <v>1581</v>
      </c>
      <c r="I143" s="202">
        <v>565.05999999999995</v>
      </c>
      <c r="J143" s="202">
        <v>79.809035029601915</v>
      </c>
      <c r="K143" s="202">
        <f t="shared" si="4"/>
        <v>79.809035029601915</v>
      </c>
      <c r="L143" s="204">
        <v>141.15</v>
      </c>
      <c r="M143" s="6">
        <f t="shared" si="5"/>
        <v>61.34096497039809</v>
      </c>
    </row>
    <row r="144" spans="2:13" ht="45">
      <c r="B144" s="9" t="s">
        <v>719</v>
      </c>
      <c r="C144" s="9">
        <v>1932108214</v>
      </c>
      <c r="D144" s="9" t="s">
        <v>1976</v>
      </c>
      <c r="E144" s="9" t="s">
        <v>719</v>
      </c>
      <c r="F144" s="7" t="s">
        <v>2416</v>
      </c>
      <c r="G144" s="9" t="s">
        <v>1578</v>
      </c>
      <c r="H144" s="9" t="s">
        <v>1581</v>
      </c>
      <c r="I144" s="202">
        <v>2018007.1099999999</v>
      </c>
      <c r="J144" s="202">
        <v>465249.8270198676</v>
      </c>
      <c r="K144" s="202">
        <f t="shared" si="4"/>
        <v>465249.8270198676</v>
      </c>
      <c r="L144" s="204">
        <v>1101357.25</v>
      </c>
      <c r="M144" s="6">
        <f t="shared" si="5"/>
        <v>636107.4229801324</v>
      </c>
    </row>
    <row r="145" spans="2:13" ht="30">
      <c r="B145" s="9" t="s">
        <v>722</v>
      </c>
      <c r="C145" s="9">
        <v>1841497153</v>
      </c>
      <c r="D145" s="9" t="s">
        <v>1971</v>
      </c>
      <c r="E145" s="9" t="s">
        <v>722</v>
      </c>
      <c r="F145" s="7" t="s">
        <v>2447</v>
      </c>
      <c r="G145" s="9" t="s">
        <v>1582</v>
      </c>
      <c r="H145" s="9" t="s">
        <v>1577</v>
      </c>
      <c r="I145" s="202">
        <v>3177452.65</v>
      </c>
      <c r="J145" s="202">
        <v>854799.28162162157</v>
      </c>
      <c r="K145" s="202">
        <f t="shared" si="4"/>
        <v>854799.28162162157</v>
      </c>
      <c r="L145" s="204">
        <v>825184.45</v>
      </c>
      <c r="M145" s="6">
        <f t="shared" si="5"/>
        <v>-29614.831621621619</v>
      </c>
    </row>
    <row r="146" spans="2:13" ht="30">
      <c r="B146" s="9" t="s">
        <v>155</v>
      </c>
      <c r="C146" s="9">
        <v>1881691061</v>
      </c>
      <c r="D146" s="9" t="s">
        <v>1970</v>
      </c>
      <c r="E146" s="9" t="s">
        <v>155</v>
      </c>
      <c r="F146" s="7" t="s">
        <v>2318</v>
      </c>
      <c r="G146" s="9" t="s">
        <v>1578</v>
      </c>
      <c r="H146" s="9" t="s">
        <v>1581</v>
      </c>
      <c r="I146" s="202">
        <v>1971873.8900000001</v>
      </c>
      <c r="J146" s="202">
        <v>359661.03049999999</v>
      </c>
      <c r="K146" s="202">
        <f t="shared" si="4"/>
        <v>359661.03049999999</v>
      </c>
      <c r="L146" s="204">
        <v>673559.79</v>
      </c>
      <c r="M146" s="6">
        <f t="shared" si="5"/>
        <v>313898.75950000004</v>
      </c>
    </row>
    <row r="147" spans="2:13" ht="60">
      <c r="B147" s="9" t="s">
        <v>780</v>
      </c>
      <c r="C147" s="9">
        <v>1114998911</v>
      </c>
      <c r="D147" s="9" t="s">
        <v>1905</v>
      </c>
      <c r="E147" s="9" t="s">
        <v>780</v>
      </c>
      <c r="F147" s="7" t="s">
        <v>3677</v>
      </c>
      <c r="G147" s="9" t="s">
        <v>1582</v>
      </c>
      <c r="H147" s="9" t="s">
        <v>1581</v>
      </c>
      <c r="I147" s="202">
        <v>26785775.259999998</v>
      </c>
      <c r="J147" s="202">
        <v>741362.7098039214</v>
      </c>
      <c r="K147" s="202">
        <f t="shared" si="4"/>
        <v>741362.7098039214</v>
      </c>
      <c r="L147" s="204">
        <v>3039006.92</v>
      </c>
      <c r="M147" s="6">
        <f t="shared" si="5"/>
        <v>2297644.2101960788</v>
      </c>
    </row>
    <row r="148" spans="2:13" ht="30">
      <c r="B148" s="9" t="s">
        <v>725</v>
      </c>
      <c r="C148" s="9">
        <v>1154317774</v>
      </c>
      <c r="D148" s="9" t="s">
        <v>1969</v>
      </c>
      <c r="E148" s="9" t="s">
        <v>725</v>
      </c>
      <c r="F148" s="7" t="s">
        <v>1968</v>
      </c>
      <c r="G148" s="9" t="s">
        <v>1582</v>
      </c>
      <c r="H148" s="9" t="s">
        <v>1577</v>
      </c>
      <c r="I148" s="202">
        <v>2322551.34</v>
      </c>
      <c r="J148" s="202">
        <v>449511.43867549661</v>
      </c>
      <c r="K148" s="202">
        <f t="shared" si="4"/>
        <v>449511.43867549661</v>
      </c>
      <c r="L148" s="204">
        <v>456689.77</v>
      </c>
      <c r="M148" s="6">
        <f t="shared" si="5"/>
        <v>7178.3313245034078</v>
      </c>
    </row>
    <row r="149" spans="2:13" ht="60">
      <c r="B149" s="9" t="s">
        <v>1280</v>
      </c>
      <c r="C149" s="9">
        <v>1720088123</v>
      </c>
      <c r="D149" s="9" t="s">
        <v>1967</v>
      </c>
      <c r="E149" s="9" t="s">
        <v>1280</v>
      </c>
      <c r="F149" s="7" t="s">
        <v>2709</v>
      </c>
      <c r="G149" s="9" t="s">
        <v>1578</v>
      </c>
      <c r="H149" s="9" t="s">
        <v>1581</v>
      </c>
      <c r="I149" s="202">
        <v>10588477.449999999</v>
      </c>
      <c r="J149" s="202">
        <v>1785227.237179487</v>
      </c>
      <c r="K149" s="202">
        <f t="shared" si="4"/>
        <v>1785227.237179487</v>
      </c>
      <c r="L149" s="204">
        <v>3627576.37</v>
      </c>
      <c r="M149" s="6">
        <f t="shared" si="5"/>
        <v>1842349.1328205131</v>
      </c>
    </row>
    <row r="150" spans="2:13" ht="60">
      <c r="B150" s="9" t="s">
        <v>158</v>
      </c>
      <c r="C150" s="9">
        <v>1326037607</v>
      </c>
      <c r="D150" s="9" t="s">
        <v>1966</v>
      </c>
      <c r="E150" s="88" t="s">
        <v>158</v>
      </c>
      <c r="F150" s="7" t="s">
        <v>2419</v>
      </c>
      <c r="G150" s="9" t="s">
        <v>1578</v>
      </c>
      <c r="H150" s="9" t="s">
        <v>1577</v>
      </c>
      <c r="I150" s="202">
        <v>2659174.42</v>
      </c>
      <c r="J150" s="202">
        <v>552625.90516556287</v>
      </c>
      <c r="K150" s="202">
        <f t="shared" si="4"/>
        <v>552625.90516556287</v>
      </c>
      <c r="L150" s="204">
        <v>428305.24</v>
      </c>
      <c r="M150" s="6">
        <f t="shared" si="5"/>
        <v>-124320.66516556288</v>
      </c>
    </row>
    <row r="151" spans="2:13" ht="60">
      <c r="B151" s="9" t="s">
        <v>732</v>
      </c>
      <c r="C151" s="9">
        <v>1992707780</v>
      </c>
      <c r="D151" s="9" t="s">
        <v>2155</v>
      </c>
      <c r="E151" s="9" t="s">
        <v>732</v>
      </c>
      <c r="F151" s="7" t="s">
        <v>2317</v>
      </c>
      <c r="G151" s="9" t="s">
        <v>1578</v>
      </c>
      <c r="H151" s="9" t="s">
        <v>1577</v>
      </c>
      <c r="I151" s="202">
        <v>137029.29999999999</v>
      </c>
      <c r="J151" s="202">
        <v>34095.249249999993</v>
      </c>
      <c r="K151" s="202">
        <f t="shared" si="4"/>
        <v>34095.249249999993</v>
      </c>
      <c r="L151" s="204">
        <v>102678.26</v>
      </c>
      <c r="M151" s="6">
        <f t="shared" si="5"/>
        <v>68583.010750000001</v>
      </c>
    </row>
    <row r="152" spans="2:13" ht="60">
      <c r="B152" s="9" t="s">
        <v>735</v>
      </c>
      <c r="C152" s="9">
        <v>1861510521</v>
      </c>
      <c r="D152" s="9" t="s">
        <v>1961</v>
      </c>
      <c r="E152" s="9" t="s">
        <v>735</v>
      </c>
      <c r="F152" s="7" t="s">
        <v>3679</v>
      </c>
      <c r="G152" s="9" t="s">
        <v>1578</v>
      </c>
      <c r="H152" s="9" t="s">
        <v>1577</v>
      </c>
      <c r="I152" s="202">
        <v>536394.47</v>
      </c>
      <c r="J152" s="202">
        <v>250908.71774999995</v>
      </c>
      <c r="K152" s="202">
        <f t="shared" si="4"/>
        <v>250908.71774999995</v>
      </c>
      <c r="L152" s="204">
        <v>345598.96</v>
      </c>
      <c r="M152" s="6">
        <f t="shared" si="5"/>
        <v>94690.242250000068</v>
      </c>
    </row>
    <row r="153" spans="2:13" ht="30">
      <c r="B153" s="9" t="s">
        <v>162</v>
      </c>
      <c r="C153" s="9">
        <v>1881688976</v>
      </c>
      <c r="D153" s="9" t="s">
        <v>1959</v>
      </c>
      <c r="E153" s="9" t="s">
        <v>162</v>
      </c>
      <c r="F153" s="7" t="s">
        <v>1958</v>
      </c>
      <c r="G153" s="9" t="s">
        <v>1582</v>
      </c>
      <c r="H153" s="9" t="s">
        <v>1581</v>
      </c>
      <c r="I153" s="202">
        <v>20221375.93</v>
      </c>
      <c r="J153" s="202">
        <v>654777.67455621297</v>
      </c>
      <c r="K153" s="202">
        <f t="shared" si="4"/>
        <v>654777.67455621297</v>
      </c>
      <c r="L153" s="204">
        <v>3488187.35</v>
      </c>
      <c r="M153" s="6">
        <f t="shared" si="5"/>
        <v>2833409.6754437871</v>
      </c>
    </row>
    <row r="154" spans="2:13" ht="30">
      <c r="B154" s="9" t="s">
        <v>738</v>
      </c>
      <c r="C154" s="9">
        <v>1205900370</v>
      </c>
      <c r="D154" s="9" t="s">
        <v>1957</v>
      </c>
      <c r="E154" s="9" t="s">
        <v>738</v>
      </c>
      <c r="F154" s="7" t="s">
        <v>1956</v>
      </c>
      <c r="G154" s="9" t="s">
        <v>1578</v>
      </c>
      <c r="H154" s="9" t="s">
        <v>1581</v>
      </c>
      <c r="I154" s="202">
        <v>75646714.710000008</v>
      </c>
      <c r="J154" s="202">
        <v>10510997.576470589</v>
      </c>
      <c r="K154" s="202">
        <f t="shared" si="4"/>
        <v>10510997.576470589</v>
      </c>
      <c r="L154" s="204">
        <v>36582751.229999997</v>
      </c>
      <c r="M154" s="6">
        <f t="shared" si="5"/>
        <v>26071753.653529406</v>
      </c>
    </row>
    <row r="155" spans="2:13" ht="45">
      <c r="B155" s="9" t="s">
        <v>741</v>
      </c>
      <c r="C155" s="9">
        <v>1184607897</v>
      </c>
      <c r="D155" s="9" t="s">
        <v>2156</v>
      </c>
      <c r="E155" s="9" t="s">
        <v>741</v>
      </c>
      <c r="F155" s="7" t="s">
        <v>3680</v>
      </c>
      <c r="G155" s="9" t="s">
        <v>1578</v>
      </c>
      <c r="H155" s="9" t="s">
        <v>1577</v>
      </c>
      <c r="I155" s="202">
        <v>428962.87000000005</v>
      </c>
      <c r="J155" s="202">
        <v>109063.05499999999</v>
      </c>
      <c r="K155" s="202">
        <f t="shared" si="4"/>
        <v>109063.05499999999</v>
      </c>
      <c r="L155" s="204">
        <v>204276.97</v>
      </c>
      <c r="M155" s="6">
        <f t="shared" si="5"/>
        <v>95213.915000000008</v>
      </c>
    </row>
    <row r="156" spans="2:13" ht="60">
      <c r="B156" s="9" t="s">
        <v>165</v>
      </c>
      <c r="C156" s="9">
        <v>1003344334</v>
      </c>
      <c r="D156" s="9" t="s">
        <v>1954</v>
      </c>
      <c r="E156" s="9" t="s">
        <v>165</v>
      </c>
      <c r="F156" s="7" t="s">
        <v>2610</v>
      </c>
      <c r="G156" s="9" t="s">
        <v>1582</v>
      </c>
      <c r="H156" s="9" t="s">
        <v>1581</v>
      </c>
      <c r="I156" s="202">
        <v>37985037.980000004</v>
      </c>
      <c r="J156" s="202">
        <v>1600183.7610062896</v>
      </c>
      <c r="K156" s="202">
        <f t="shared" si="4"/>
        <v>1600183.7610062896</v>
      </c>
      <c r="L156" s="204">
        <v>3662061.54</v>
      </c>
      <c r="M156" s="6">
        <f t="shared" si="5"/>
        <v>2061877.7789937104</v>
      </c>
    </row>
    <row r="157" spans="2:13" ht="60">
      <c r="B157" s="9" t="s">
        <v>168</v>
      </c>
      <c r="C157" s="9">
        <v>1013968726</v>
      </c>
      <c r="D157" s="9" t="s">
        <v>1951</v>
      </c>
      <c r="E157" s="9" t="s">
        <v>168</v>
      </c>
      <c r="F157" s="7" t="s">
        <v>2594</v>
      </c>
      <c r="G157" s="9" t="s">
        <v>1582</v>
      </c>
      <c r="H157" s="9" t="s">
        <v>1581</v>
      </c>
      <c r="I157" s="202">
        <v>58921</v>
      </c>
      <c r="J157" s="202">
        <v>10168.279279279279</v>
      </c>
      <c r="K157" s="202">
        <f t="shared" si="4"/>
        <v>10168.279279279279</v>
      </c>
      <c r="L157" s="204">
        <v>16091.56</v>
      </c>
      <c r="M157" s="6">
        <f t="shared" si="5"/>
        <v>5923.2807207207206</v>
      </c>
    </row>
    <row r="158" spans="2:13" ht="30">
      <c r="B158" s="9" t="s">
        <v>171</v>
      </c>
      <c r="C158" s="9">
        <v>1558349399</v>
      </c>
      <c r="D158" s="9" t="s">
        <v>1932</v>
      </c>
      <c r="E158" s="9" t="s">
        <v>171</v>
      </c>
      <c r="F158" s="7" t="s">
        <v>2352</v>
      </c>
      <c r="G158" s="9" t="s">
        <v>1582</v>
      </c>
      <c r="H158" s="9" t="s">
        <v>1577</v>
      </c>
      <c r="I158" s="202">
        <v>1300084.58</v>
      </c>
      <c r="J158" s="202">
        <v>357459.82367346936</v>
      </c>
      <c r="K158" s="202">
        <f t="shared" si="4"/>
        <v>357459.82367346936</v>
      </c>
      <c r="L158" s="204">
        <v>466335.14</v>
      </c>
      <c r="M158" s="6">
        <f t="shared" si="5"/>
        <v>108875.31632653065</v>
      </c>
    </row>
    <row r="159" spans="2:13" ht="30">
      <c r="B159" s="9" t="s">
        <v>744</v>
      </c>
      <c r="C159" s="9">
        <v>1558354241</v>
      </c>
      <c r="D159" s="9" t="s">
        <v>1931</v>
      </c>
      <c r="E159" s="9" t="s">
        <v>744</v>
      </c>
      <c r="F159" s="7" t="s">
        <v>1930</v>
      </c>
      <c r="G159" s="9" t="s">
        <v>1578</v>
      </c>
      <c r="H159" s="9" t="s">
        <v>1581</v>
      </c>
      <c r="I159" s="202">
        <v>156999.47000000003</v>
      </c>
      <c r="J159" s="202">
        <v>48512.236749999996</v>
      </c>
      <c r="K159" s="202">
        <f t="shared" si="4"/>
        <v>48512.236749999996</v>
      </c>
      <c r="L159" s="204">
        <v>69882.38</v>
      </c>
      <c r="M159" s="6">
        <f t="shared" si="5"/>
        <v>21370.143250000008</v>
      </c>
    </row>
    <row r="160" spans="2:13" ht="45">
      <c r="B160" s="9" t="s">
        <v>174</v>
      </c>
      <c r="C160" s="9">
        <v>1326546797</v>
      </c>
      <c r="D160" s="9" t="s">
        <v>1929</v>
      </c>
      <c r="E160" s="9" t="s">
        <v>174</v>
      </c>
      <c r="F160" s="7" t="s">
        <v>2390</v>
      </c>
      <c r="G160" s="9" t="s">
        <v>1582</v>
      </c>
      <c r="H160" s="9" t="s">
        <v>1581</v>
      </c>
      <c r="I160" s="202">
        <v>9548644.0300000012</v>
      </c>
      <c r="J160" s="202">
        <v>900984.98616352188</v>
      </c>
      <c r="K160" s="202">
        <f t="shared" si="4"/>
        <v>900984.98616352188</v>
      </c>
      <c r="L160" s="204">
        <v>1547644.22</v>
      </c>
      <c r="M160" s="6">
        <f t="shared" si="5"/>
        <v>646659.23383647809</v>
      </c>
    </row>
    <row r="161" spans="2:13" ht="30">
      <c r="B161" s="9" t="s">
        <v>747</v>
      </c>
      <c r="C161" s="9">
        <v>1528064649</v>
      </c>
      <c r="D161" s="9" t="s">
        <v>1928</v>
      </c>
      <c r="E161" s="9" t="s">
        <v>747</v>
      </c>
      <c r="F161" s="7" t="s">
        <v>1927</v>
      </c>
      <c r="G161" s="9" t="s">
        <v>1582</v>
      </c>
      <c r="H161" s="9" t="s">
        <v>1581</v>
      </c>
      <c r="I161" s="202">
        <v>74883227.170000002</v>
      </c>
      <c r="J161" s="202">
        <v>5734227.3485714281</v>
      </c>
      <c r="K161" s="202">
        <f t="shared" si="4"/>
        <v>5734227.3485714281</v>
      </c>
      <c r="L161" s="204">
        <v>13441865.77</v>
      </c>
      <c r="M161" s="6">
        <f t="shared" si="5"/>
        <v>7707638.4214285715</v>
      </c>
    </row>
    <row r="162" spans="2:13" ht="30">
      <c r="B162" s="9" t="s">
        <v>3079</v>
      </c>
      <c r="C162" s="9">
        <v>1184233785</v>
      </c>
      <c r="D162" s="9" t="s">
        <v>2100</v>
      </c>
      <c r="E162" s="9" t="s">
        <v>3079</v>
      </c>
      <c r="F162" s="7" t="s">
        <v>3682</v>
      </c>
      <c r="G162" s="9" t="s">
        <v>1582</v>
      </c>
      <c r="H162" s="9" t="s">
        <v>1581</v>
      </c>
      <c r="I162" s="202">
        <v>12354341.449999999</v>
      </c>
      <c r="J162" s="202">
        <v>1005950.5480272108</v>
      </c>
      <c r="K162" s="202">
        <f t="shared" si="4"/>
        <v>1005950.5480272108</v>
      </c>
      <c r="L162" s="204">
        <v>3012976.79</v>
      </c>
      <c r="M162" s="6">
        <f t="shared" si="5"/>
        <v>2007026.2419727892</v>
      </c>
    </row>
    <row r="163" spans="2:13" ht="60">
      <c r="B163" s="9" t="s">
        <v>177</v>
      </c>
      <c r="C163" s="9">
        <v>1235510090</v>
      </c>
      <c r="D163" s="9" t="s">
        <v>1926</v>
      </c>
      <c r="E163" s="9" t="s">
        <v>177</v>
      </c>
      <c r="F163" s="7" t="s">
        <v>2406</v>
      </c>
      <c r="G163" s="9" t="s">
        <v>1582</v>
      </c>
      <c r="H163" s="9" t="s">
        <v>1581</v>
      </c>
      <c r="I163" s="202">
        <v>1637939.33</v>
      </c>
      <c r="J163" s="202">
        <v>27669.815217391319</v>
      </c>
      <c r="K163" s="202">
        <f t="shared" si="4"/>
        <v>27669.815217391319</v>
      </c>
      <c r="L163" s="204">
        <v>472054.11</v>
      </c>
      <c r="M163" s="6">
        <f t="shared" si="5"/>
        <v>444384.29478260869</v>
      </c>
    </row>
    <row r="164" spans="2:13" ht="60">
      <c r="B164" s="9" t="s">
        <v>750</v>
      </c>
      <c r="C164" s="9">
        <v>1841562709</v>
      </c>
      <c r="D164" s="9" t="s">
        <v>1924</v>
      </c>
      <c r="E164" s="9" t="s">
        <v>750</v>
      </c>
      <c r="F164" s="7" t="s">
        <v>2434</v>
      </c>
      <c r="G164" s="9" t="s">
        <v>1582</v>
      </c>
      <c r="H164" s="9" t="s">
        <v>1581</v>
      </c>
      <c r="I164" s="202">
        <v>26082792.710000001</v>
      </c>
      <c r="J164" s="202">
        <v>2026727.6627218938</v>
      </c>
      <c r="K164" s="202">
        <f t="shared" si="4"/>
        <v>2026727.6627218938</v>
      </c>
      <c r="L164" s="204">
        <v>7530968.21</v>
      </c>
      <c r="M164" s="6">
        <f t="shared" si="5"/>
        <v>5504240.5472781062</v>
      </c>
    </row>
    <row r="165" spans="2:13" ht="45">
      <c r="B165" s="9" t="s">
        <v>753</v>
      </c>
      <c r="C165" s="9">
        <v>1497726343</v>
      </c>
      <c r="D165" s="9" t="s">
        <v>1923</v>
      </c>
      <c r="E165" s="9" t="s">
        <v>753</v>
      </c>
      <c r="F165" s="7" t="s">
        <v>2426</v>
      </c>
      <c r="G165" s="9" t="s">
        <v>1582</v>
      </c>
      <c r="H165" s="9" t="s">
        <v>1581</v>
      </c>
      <c r="I165" s="202">
        <v>1880035.8200000003</v>
      </c>
      <c r="J165" s="202">
        <v>236705.23655629135</v>
      </c>
      <c r="K165" s="202">
        <f t="shared" si="4"/>
        <v>236705.23655629135</v>
      </c>
      <c r="L165" s="204">
        <v>739606.09</v>
      </c>
      <c r="M165" s="6">
        <f t="shared" si="5"/>
        <v>502900.85344370862</v>
      </c>
    </row>
    <row r="166" spans="2:13" ht="75">
      <c r="B166" s="9" t="s">
        <v>756</v>
      </c>
      <c r="C166" s="9">
        <v>1891882833</v>
      </c>
      <c r="D166" s="9" t="s">
        <v>1922</v>
      </c>
      <c r="E166" s="9" t="s">
        <v>756</v>
      </c>
      <c r="F166" s="7" t="s">
        <v>2433</v>
      </c>
      <c r="G166" s="9" t="s">
        <v>1582</v>
      </c>
      <c r="H166" s="9" t="s">
        <v>1581</v>
      </c>
      <c r="I166" s="202">
        <v>42273100.060000002</v>
      </c>
      <c r="J166" s="202">
        <v>3340968.8934911247</v>
      </c>
      <c r="K166" s="202">
        <f t="shared" si="4"/>
        <v>3340968.8934911247</v>
      </c>
      <c r="L166" s="204">
        <v>13934783.800000001</v>
      </c>
      <c r="M166" s="6">
        <f t="shared" si="5"/>
        <v>10593814.906508876</v>
      </c>
    </row>
    <row r="167" spans="2:13" ht="60">
      <c r="B167" s="9" t="s">
        <v>183</v>
      </c>
      <c r="C167" s="9">
        <v>1952723967</v>
      </c>
      <c r="D167" s="9" t="s">
        <v>1920</v>
      </c>
      <c r="E167" s="9" t="s">
        <v>183</v>
      </c>
      <c r="F167" s="7" t="s">
        <v>2506</v>
      </c>
      <c r="G167" s="9" t="s">
        <v>1582</v>
      </c>
      <c r="H167" s="9" t="s">
        <v>1581</v>
      </c>
      <c r="I167" s="202">
        <v>13861961.550000001</v>
      </c>
      <c r="J167" s="202">
        <v>1405919.1691176477</v>
      </c>
      <c r="K167" s="202">
        <f t="shared" si="4"/>
        <v>1405919.1691176477</v>
      </c>
      <c r="L167" s="204">
        <v>2143059.2599999998</v>
      </c>
      <c r="M167" s="6">
        <f t="shared" si="5"/>
        <v>737140.09088235209</v>
      </c>
    </row>
    <row r="168" spans="2:13" ht="60">
      <c r="B168" s="9" t="s">
        <v>759</v>
      </c>
      <c r="C168" s="9">
        <v>1740450121</v>
      </c>
      <c r="D168" s="9" t="s">
        <v>1919</v>
      </c>
      <c r="E168" s="9" t="s">
        <v>759</v>
      </c>
      <c r="F168" s="7" t="s">
        <v>3683</v>
      </c>
      <c r="G168" s="9" t="s">
        <v>1582</v>
      </c>
      <c r="H168" s="9" t="s">
        <v>1581</v>
      </c>
      <c r="I168" s="202">
        <v>81330941.969999999</v>
      </c>
      <c r="J168" s="202">
        <v>2079498.0294117648</v>
      </c>
      <c r="K168" s="202">
        <f t="shared" si="4"/>
        <v>2079498.0294117648</v>
      </c>
      <c r="L168" s="204">
        <v>7355798.1100000003</v>
      </c>
      <c r="M168" s="6">
        <f t="shared" si="5"/>
        <v>5276300.0805882355</v>
      </c>
    </row>
    <row r="169" spans="2:13" ht="45">
      <c r="B169" s="9" t="s">
        <v>186</v>
      </c>
      <c r="C169" s="9">
        <v>1073043592</v>
      </c>
      <c r="D169" s="9" t="s">
        <v>1918</v>
      </c>
      <c r="E169" s="9" t="s">
        <v>186</v>
      </c>
      <c r="F169" s="7" t="s">
        <v>2568</v>
      </c>
      <c r="G169" s="9" t="s">
        <v>1582</v>
      </c>
      <c r="H169" s="9" t="s">
        <v>1581</v>
      </c>
      <c r="I169" s="202">
        <v>16635148.49</v>
      </c>
      <c r="J169" s="202">
        <v>340359.11029411771</v>
      </c>
      <c r="K169" s="202">
        <f t="shared" si="4"/>
        <v>340359.11029411771</v>
      </c>
      <c r="L169" s="204">
        <v>2085490.34</v>
      </c>
      <c r="M169" s="6">
        <f t="shared" si="5"/>
        <v>1745131.2297058823</v>
      </c>
    </row>
    <row r="170" spans="2:13" ht="45">
      <c r="B170" s="9" t="s">
        <v>762</v>
      </c>
      <c r="C170" s="9">
        <v>1598750721</v>
      </c>
      <c r="D170" s="9" t="s">
        <v>1917</v>
      </c>
      <c r="E170" s="9" t="s">
        <v>762</v>
      </c>
      <c r="F170" s="7" t="s">
        <v>2672</v>
      </c>
      <c r="G170" s="9" t="s">
        <v>1578</v>
      </c>
      <c r="H170" s="9" t="s">
        <v>1581</v>
      </c>
      <c r="I170" s="202">
        <v>16790345.979999997</v>
      </c>
      <c r="J170" s="202">
        <v>2694852.8957055206</v>
      </c>
      <c r="K170" s="202">
        <f t="shared" si="4"/>
        <v>2694852.8957055206</v>
      </c>
      <c r="L170" s="204">
        <v>4915491.32</v>
      </c>
      <c r="M170" s="6">
        <f t="shared" si="5"/>
        <v>2220638.4242944797</v>
      </c>
    </row>
    <row r="171" spans="2:13" ht="45">
      <c r="B171" s="9" t="s">
        <v>2860</v>
      </c>
      <c r="C171" s="9">
        <v>1245878990</v>
      </c>
      <c r="D171" s="9" t="s">
        <v>1592</v>
      </c>
      <c r="E171" s="9" t="s">
        <v>2860</v>
      </c>
      <c r="F171" s="7" t="s">
        <v>3684</v>
      </c>
      <c r="G171" s="9" t="s">
        <v>1582</v>
      </c>
      <c r="H171" s="9" t="s">
        <v>1581</v>
      </c>
      <c r="I171" s="202">
        <v>11633192.01</v>
      </c>
      <c r="J171" s="202">
        <v>661689.6768558952</v>
      </c>
      <c r="K171" s="202">
        <f t="shared" si="4"/>
        <v>661689.6768558952</v>
      </c>
      <c r="L171" s="204">
        <v>2335675.06</v>
      </c>
      <c r="M171" s="6">
        <f t="shared" si="5"/>
        <v>1673985.3831441049</v>
      </c>
    </row>
    <row r="172" spans="2:13" ht="75">
      <c r="B172" s="9" t="s">
        <v>189</v>
      </c>
      <c r="C172" s="9">
        <v>1669569984</v>
      </c>
      <c r="D172" s="9" t="s">
        <v>2161</v>
      </c>
      <c r="E172" s="9" t="s">
        <v>189</v>
      </c>
      <c r="F172" s="7" t="s">
        <v>3260</v>
      </c>
      <c r="G172" s="9" t="s">
        <v>1582</v>
      </c>
      <c r="H172" s="9" t="s">
        <v>1581</v>
      </c>
      <c r="I172" s="202">
        <v>94400.23000000001</v>
      </c>
      <c r="J172" s="202">
        <v>5335.8734939759042</v>
      </c>
      <c r="K172" s="202">
        <f t="shared" si="4"/>
        <v>5335.8734939759042</v>
      </c>
      <c r="L172" s="204">
        <v>45038.35</v>
      </c>
      <c r="M172" s="6">
        <f t="shared" si="5"/>
        <v>39702.476506024097</v>
      </c>
    </row>
    <row r="173" spans="2:13" ht="45">
      <c r="B173" s="9" t="s">
        <v>765</v>
      </c>
      <c r="C173" s="9">
        <v>1790777696</v>
      </c>
      <c r="D173" s="9" t="s">
        <v>1916</v>
      </c>
      <c r="E173" s="9" t="s">
        <v>765</v>
      </c>
      <c r="F173" s="7" t="s">
        <v>2322</v>
      </c>
      <c r="G173" s="9" t="s">
        <v>1578</v>
      </c>
      <c r="H173" s="9" t="s">
        <v>1581</v>
      </c>
      <c r="I173" s="202">
        <v>3274002.3400000003</v>
      </c>
      <c r="J173" s="202">
        <v>652655.72274999996</v>
      </c>
      <c r="K173" s="202">
        <f t="shared" si="4"/>
        <v>652655.72274999996</v>
      </c>
      <c r="L173" s="204">
        <v>1317061.73</v>
      </c>
      <c r="M173" s="6">
        <f t="shared" si="5"/>
        <v>664406.00725000002</v>
      </c>
    </row>
    <row r="174" spans="2:13" ht="60">
      <c r="B174" s="9" t="s">
        <v>768</v>
      </c>
      <c r="C174" s="9">
        <v>1124061882</v>
      </c>
      <c r="D174" s="9" t="s">
        <v>1915</v>
      </c>
      <c r="E174" s="9" t="s">
        <v>768</v>
      </c>
      <c r="F174" s="7" t="s">
        <v>2421</v>
      </c>
      <c r="G174" s="9" t="s">
        <v>1578</v>
      </c>
      <c r="H174" s="9" t="s">
        <v>1577</v>
      </c>
      <c r="I174" s="202">
        <v>1236934.78</v>
      </c>
      <c r="J174" s="202">
        <v>576779.81695364229</v>
      </c>
      <c r="K174" s="202">
        <f t="shared" si="4"/>
        <v>576779.81695364229</v>
      </c>
      <c r="L174" s="204">
        <v>582276.04</v>
      </c>
      <c r="M174" s="6">
        <f t="shared" si="5"/>
        <v>5496.2230463577434</v>
      </c>
    </row>
    <row r="175" spans="2:13" ht="45">
      <c r="B175" s="9" t="s">
        <v>192</v>
      </c>
      <c r="C175" s="9">
        <v>1730697350</v>
      </c>
      <c r="D175" s="9" t="s">
        <v>1914</v>
      </c>
      <c r="E175" s="9" t="s">
        <v>192</v>
      </c>
      <c r="F175" s="7" t="s">
        <v>2386</v>
      </c>
      <c r="G175" s="9" t="s">
        <v>1582</v>
      </c>
      <c r="H175" s="9" t="s">
        <v>1581</v>
      </c>
      <c r="I175" s="202">
        <v>10727875.42</v>
      </c>
      <c r="J175" s="202">
        <v>822133.60679245275</v>
      </c>
      <c r="K175" s="202">
        <f t="shared" si="4"/>
        <v>822133.60679245275</v>
      </c>
      <c r="L175" s="204">
        <v>1681177.16</v>
      </c>
      <c r="M175" s="6">
        <f t="shared" si="5"/>
        <v>859043.55320754717</v>
      </c>
    </row>
    <row r="176" spans="2:13" ht="45">
      <c r="B176" s="9" t="s">
        <v>195</v>
      </c>
      <c r="C176" s="9">
        <v>1699772541</v>
      </c>
      <c r="D176" s="9" t="s">
        <v>1913</v>
      </c>
      <c r="E176" s="9" t="s">
        <v>195</v>
      </c>
      <c r="F176" s="7" t="s">
        <v>2299</v>
      </c>
      <c r="G176" s="9" t="s">
        <v>1578</v>
      </c>
      <c r="H176" s="9" t="s">
        <v>1577</v>
      </c>
      <c r="I176" s="202">
        <v>1458992.1400000001</v>
      </c>
      <c r="J176" s="202">
        <v>296237.10518518515</v>
      </c>
      <c r="K176" s="202">
        <f t="shared" si="4"/>
        <v>296237.10518518515</v>
      </c>
      <c r="L176" s="204">
        <v>555935.53</v>
      </c>
      <c r="M176" s="6">
        <f t="shared" si="5"/>
        <v>259698.42481481488</v>
      </c>
    </row>
    <row r="177" spans="2:13" ht="45">
      <c r="B177" s="9" t="s">
        <v>198</v>
      </c>
      <c r="C177" s="9">
        <v>1669480323</v>
      </c>
      <c r="D177" s="9" t="s">
        <v>1912</v>
      </c>
      <c r="E177" s="9" t="s">
        <v>198</v>
      </c>
      <c r="F177" s="7" t="s">
        <v>2366</v>
      </c>
      <c r="G177" s="9" t="s">
        <v>1582</v>
      </c>
      <c r="H177" s="9" t="s">
        <v>1581</v>
      </c>
      <c r="I177" s="202">
        <v>1489025.81</v>
      </c>
      <c r="J177" s="202">
        <v>155067.29142857142</v>
      </c>
      <c r="K177" s="202">
        <f t="shared" si="4"/>
        <v>155067.29142857142</v>
      </c>
      <c r="L177" s="204">
        <v>874653.76</v>
      </c>
      <c r="M177" s="6">
        <f t="shared" si="5"/>
        <v>719586.46857142856</v>
      </c>
    </row>
    <row r="178" spans="2:13" ht="45">
      <c r="B178" s="9" t="s">
        <v>771</v>
      </c>
      <c r="C178" s="9">
        <v>1811942238</v>
      </c>
      <c r="D178" s="9" t="s">
        <v>1909</v>
      </c>
      <c r="E178" s="9" t="s">
        <v>771</v>
      </c>
      <c r="F178" s="7" t="s">
        <v>2516</v>
      </c>
      <c r="G178" s="9" t="s">
        <v>1582</v>
      </c>
      <c r="H178" s="9" t="s">
        <v>1581</v>
      </c>
      <c r="I178" s="202">
        <v>113641831.17000002</v>
      </c>
      <c r="J178" s="202">
        <v>6201957.5257352944</v>
      </c>
      <c r="K178" s="202">
        <f t="shared" si="4"/>
        <v>6201957.5257352944</v>
      </c>
      <c r="L178" s="204">
        <v>11419822.16</v>
      </c>
      <c r="M178" s="6">
        <f t="shared" si="5"/>
        <v>5217864.6342647057</v>
      </c>
    </row>
    <row r="179" spans="2:13">
      <c r="B179" s="9" t="s">
        <v>774</v>
      </c>
      <c r="C179" s="9">
        <v>1861488579</v>
      </c>
      <c r="D179" s="9" t="s">
        <v>1908</v>
      </c>
      <c r="E179" s="9" t="s">
        <v>774</v>
      </c>
      <c r="F179" s="7" t="s">
        <v>1907</v>
      </c>
      <c r="G179" s="9" t="s">
        <v>1582</v>
      </c>
      <c r="H179" s="9" t="s">
        <v>1581</v>
      </c>
      <c r="I179" s="202">
        <v>26408879.739999995</v>
      </c>
      <c r="J179" s="202">
        <v>1171462.0118343197</v>
      </c>
      <c r="K179" s="202">
        <f t="shared" si="4"/>
        <v>1171462.0118343197</v>
      </c>
      <c r="L179" s="204">
        <v>4035276.82</v>
      </c>
      <c r="M179" s="6">
        <f t="shared" si="5"/>
        <v>2863814.8081656802</v>
      </c>
    </row>
    <row r="180" spans="2:13" ht="45">
      <c r="B180" s="9" t="s">
        <v>2762</v>
      </c>
      <c r="C180" s="9">
        <v>1487639175</v>
      </c>
      <c r="D180" s="9" t="s">
        <v>2763</v>
      </c>
      <c r="E180" s="9" t="s">
        <v>2762</v>
      </c>
      <c r="F180" s="7" t="s">
        <v>2332</v>
      </c>
      <c r="G180" s="9" t="s">
        <v>1578</v>
      </c>
      <c r="H180" s="9" t="s">
        <v>1577</v>
      </c>
      <c r="I180" s="202">
        <v>546499.79</v>
      </c>
      <c r="J180" s="202">
        <v>150367.40700000001</v>
      </c>
      <c r="K180" s="202">
        <f t="shared" si="4"/>
        <v>150367.40700000001</v>
      </c>
      <c r="L180" s="204">
        <v>261079.78</v>
      </c>
      <c r="M180" s="6">
        <f t="shared" si="5"/>
        <v>110712.37299999999</v>
      </c>
    </row>
    <row r="181" spans="2:13" ht="60">
      <c r="B181" s="9" t="s">
        <v>783</v>
      </c>
      <c r="C181" s="9">
        <v>1205018439</v>
      </c>
      <c r="D181" s="9" t="s">
        <v>1903</v>
      </c>
      <c r="E181" s="9" t="s">
        <v>783</v>
      </c>
      <c r="F181" s="7" t="s">
        <v>2662</v>
      </c>
      <c r="G181" s="9" t="s">
        <v>1582</v>
      </c>
      <c r="H181" s="9" t="s">
        <v>1581</v>
      </c>
      <c r="I181" s="202">
        <v>17567853.799999997</v>
      </c>
      <c r="J181" s="202">
        <v>830518.62650602404</v>
      </c>
      <c r="K181" s="202">
        <f t="shared" si="4"/>
        <v>830518.62650602404</v>
      </c>
      <c r="L181" s="204">
        <v>4888599.6500000004</v>
      </c>
      <c r="M181" s="6">
        <f t="shared" si="5"/>
        <v>4058081.0234939763</v>
      </c>
    </row>
    <row r="182" spans="2:13">
      <c r="B182" s="9" t="s">
        <v>786</v>
      </c>
      <c r="C182" s="9">
        <v>1700854288</v>
      </c>
      <c r="D182" s="9" t="s">
        <v>1902</v>
      </c>
      <c r="E182" s="9" t="s">
        <v>786</v>
      </c>
      <c r="F182" s="7" t="s">
        <v>1901</v>
      </c>
      <c r="G182" s="9" t="s">
        <v>1578</v>
      </c>
      <c r="H182" s="9" t="s">
        <v>1581</v>
      </c>
      <c r="I182" s="202">
        <v>1046831.8200000001</v>
      </c>
      <c r="J182" s="202">
        <v>228195.39441340778</v>
      </c>
      <c r="K182" s="202">
        <f t="shared" si="4"/>
        <v>228195.39441340778</v>
      </c>
      <c r="L182" s="204">
        <v>426403.17</v>
      </c>
      <c r="M182" s="6">
        <f t="shared" si="5"/>
        <v>198207.77558659221</v>
      </c>
    </row>
    <row r="183" spans="2:13" ht="60">
      <c r="B183" s="9" t="s">
        <v>228</v>
      </c>
      <c r="C183" s="9">
        <v>1851632616</v>
      </c>
      <c r="D183" s="9" t="s">
        <v>1900</v>
      </c>
      <c r="E183" s="9" t="s">
        <v>228</v>
      </c>
      <c r="F183" s="7" t="s">
        <v>2630</v>
      </c>
      <c r="G183" s="9" t="s">
        <v>1582</v>
      </c>
      <c r="H183" s="9" t="s">
        <v>1581</v>
      </c>
      <c r="I183" s="202">
        <v>6805304.8100000005</v>
      </c>
      <c r="J183" s="202">
        <v>174469.63253012038</v>
      </c>
      <c r="K183" s="202">
        <f t="shared" si="4"/>
        <v>174469.63253012038</v>
      </c>
      <c r="L183" s="204">
        <v>1163543.79</v>
      </c>
      <c r="M183" s="6">
        <f t="shared" si="5"/>
        <v>989074.1574698796</v>
      </c>
    </row>
    <row r="184" spans="2:13" ht="60">
      <c r="B184" s="9" t="s">
        <v>792</v>
      </c>
      <c r="C184" s="9">
        <v>1396731105</v>
      </c>
      <c r="D184" s="9" t="s">
        <v>1897</v>
      </c>
      <c r="E184" s="9" t="s">
        <v>792</v>
      </c>
      <c r="F184" s="7" t="s">
        <v>2488</v>
      </c>
      <c r="G184" s="9" t="s">
        <v>1582</v>
      </c>
      <c r="H184" s="9" t="s">
        <v>1581</v>
      </c>
      <c r="I184" s="202">
        <v>98489125.549999997</v>
      </c>
      <c r="J184" s="202">
        <v>4995204.7928994084</v>
      </c>
      <c r="K184" s="202">
        <f t="shared" si="4"/>
        <v>4995204.7928994084</v>
      </c>
      <c r="L184" s="204">
        <v>12616456.98</v>
      </c>
      <c r="M184" s="6">
        <f t="shared" si="5"/>
        <v>7621252.1871005921</v>
      </c>
    </row>
    <row r="185" spans="2:13" ht="30">
      <c r="B185" s="9" t="s">
        <v>1470</v>
      </c>
      <c r="C185" s="9">
        <v>1710389929</v>
      </c>
      <c r="D185" s="9" t="s">
        <v>2737</v>
      </c>
      <c r="E185" s="9" t="s">
        <v>1470</v>
      </c>
      <c r="F185" s="7" t="s">
        <v>2481</v>
      </c>
      <c r="G185" s="9" t="s">
        <v>1582</v>
      </c>
      <c r="H185" s="9" t="s">
        <v>1581</v>
      </c>
      <c r="I185" s="202">
        <v>1040</v>
      </c>
      <c r="J185" s="202">
        <v>181.50295857988166</v>
      </c>
      <c r="K185" s="202">
        <f t="shared" si="4"/>
        <v>181.50295857988166</v>
      </c>
      <c r="L185" s="204">
        <v>241.59</v>
      </c>
      <c r="M185" s="6">
        <f t="shared" si="5"/>
        <v>60.087041420118339</v>
      </c>
    </row>
    <row r="186" spans="2:13" ht="45">
      <c r="B186" s="9" t="s">
        <v>789</v>
      </c>
      <c r="C186" s="9">
        <v>1548232044</v>
      </c>
      <c r="D186" s="9" t="s">
        <v>1899</v>
      </c>
      <c r="E186" s="9" t="s">
        <v>789</v>
      </c>
      <c r="F186" s="7" t="s">
        <v>3685</v>
      </c>
      <c r="G186" s="9" t="s">
        <v>1582</v>
      </c>
      <c r="H186" s="9" t="s">
        <v>1581</v>
      </c>
      <c r="I186" s="202">
        <v>81096804.790000007</v>
      </c>
      <c r="J186" s="202">
        <v>3408636.2899408285</v>
      </c>
      <c r="K186" s="202">
        <f t="shared" si="4"/>
        <v>3408636.2899408285</v>
      </c>
      <c r="L186" s="204">
        <v>13275611.82</v>
      </c>
      <c r="M186" s="6">
        <f t="shared" si="5"/>
        <v>9866975.5300591718</v>
      </c>
    </row>
    <row r="187" spans="2:13">
      <c r="B187" s="9" t="s">
        <v>795</v>
      </c>
      <c r="C187" s="9">
        <v>1992767511</v>
      </c>
      <c r="D187" s="9" t="s">
        <v>1896</v>
      </c>
      <c r="E187" s="9" t="s">
        <v>795</v>
      </c>
      <c r="F187" s="7" t="s">
        <v>2163</v>
      </c>
      <c r="G187" s="9" t="s">
        <v>1578</v>
      </c>
      <c r="H187" s="9" t="s">
        <v>1577</v>
      </c>
      <c r="I187" s="202">
        <v>427698.12</v>
      </c>
      <c r="J187" s="202">
        <v>167457.00079470198</v>
      </c>
      <c r="K187" s="202">
        <f t="shared" si="4"/>
        <v>167457.00079470198</v>
      </c>
      <c r="L187" s="204">
        <v>153714.70000000001</v>
      </c>
      <c r="M187" s="6">
        <f t="shared" si="5"/>
        <v>-13742.300794701965</v>
      </c>
    </row>
    <row r="188" spans="2:13" ht="60">
      <c r="B188" s="9" t="s">
        <v>798</v>
      </c>
      <c r="C188" s="9">
        <v>1154324952</v>
      </c>
      <c r="D188" s="9" t="s">
        <v>1895</v>
      </c>
      <c r="E188" s="9" t="s">
        <v>798</v>
      </c>
      <c r="F188" s="7" t="s">
        <v>2466</v>
      </c>
      <c r="G188" s="9" t="s">
        <v>1578</v>
      </c>
      <c r="H188" s="9" t="s">
        <v>1577</v>
      </c>
      <c r="I188" s="202">
        <v>2009046.1099999999</v>
      </c>
      <c r="J188" s="202">
        <v>367466.6770909091</v>
      </c>
      <c r="K188" s="202">
        <f t="shared" si="4"/>
        <v>367466.6770909091</v>
      </c>
      <c r="L188" s="204">
        <v>693176.76</v>
      </c>
      <c r="M188" s="6">
        <f t="shared" si="5"/>
        <v>325710.08290909091</v>
      </c>
    </row>
    <row r="189" spans="2:13" ht="30">
      <c r="B189" s="9" t="s">
        <v>804</v>
      </c>
      <c r="C189" s="9">
        <v>1861487779</v>
      </c>
      <c r="D189" s="9" t="s">
        <v>1893</v>
      </c>
      <c r="E189" s="9" t="s">
        <v>804</v>
      </c>
      <c r="F189" s="7" t="s">
        <v>1892</v>
      </c>
      <c r="G189" s="9" t="s">
        <v>1578</v>
      </c>
      <c r="H189" s="9" t="s">
        <v>1577</v>
      </c>
      <c r="I189" s="202">
        <v>2000776.43</v>
      </c>
      <c r="J189" s="202">
        <v>471958.46807947021</v>
      </c>
      <c r="K189" s="202">
        <f t="shared" si="4"/>
        <v>471958.46807947021</v>
      </c>
      <c r="L189" s="204">
        <v>334217.09000000003</v>
      </c>
      <c r="M189" s="6">
        <f t="shared" si="5"/>
        <v>-137741.37807947019</v>
      </c>
    </row>
    <row r="190" spans="2:13" ht="60">
      <c r="B190" s="9" t="s">
        <v>1177</v>
      </c>
      <c r="C190" s="9">
        <v>1104842475</v>
      </c>
      <c r="D190" s="9" t="s">
        <v>1594</v>
      </c>
      <c r="E190" s="9" t="s">
        <v>1177</v>
      </c>
      <c r="F190" s="7" t="s">
        <v>3686</v>
      </c>
      <c r="G190" s="9" t="s">
        <v>1578</v>
      </c>
      <c r="H190" s="9" t="s">
        <v>1577</v>
      </c>
      <c r="I190" s="202">
        <v>588338.87</v>
      </c>
      <c r="J190" s="202">
        <v>177053.04223463684</v>
      </c>
      <c r="K190" s="202">
        <f t="shared" si="4"/>
        <v>177053.04223463684</v>
      </c>
      <c r="L190" s="204">
        <v>201801.29</v>
      </c>
      <c r="M190" s="6">
        <f t="shared" si="5"/>
        <v>24748.247765363165</v>
      </c>
    </row>
    <row r="191" spans="2:13" ht="45">
      <c r="B191" s="9" t="s">
        <v>807</v>
      </c>
      <c r="C191" s="9">
        <v>1528026267</v>
      </c>
      <c r="D191" s="9" t="s">
        <v>1888</v>
      </c>
      <c r="E191" s="9" t="s">
        <v>807</v>
      </c>
      <c r="F191" s="7" t="s">
        <v>2401</v>
      </c>
      <c r="G191" s="9" t="s">
        <v>1582</v>
      </c>
      <c r="H191" s="9" t="s">
        <v>1581</v>
      </c>
      <c r="I191" s="202">
        <v>42253885.109999999</v>
      </c>
      <c r="J191" s="202">
        <v>962824.43478260865</v>
      </c>
      <c r="K191" s="202">
        <f t="shared" si="4"/>
        <v>962824.43478260865</v>
      </c>
      <c r="L191" s="204">
        <v>5029374.3099999996</v>
      </c>
      <c r="M191" s="6">
        <f t="shared" si="5"/>
        <v>4066549.8752173912</v>
      </c>
    </row>
    <row r="192" spans="2:13" ht="45">
      <c r="B192" s="9" t="s">
        <v>237</v>
      </c>
      <c r="C192" s="9">
        <v>1922001775</v>
      </c>
      <c r="D192" s="9" t="s">
        <v>1887</v>
      </c>
      <c r="E192" s="9" t="s">
        <v>237</v>
      </c>
      <c r="F192" s="7" t="s">
        <v>2452</v>
      </c>
      <c r="G192" s="9" t="s">
        <v>1582</v>
      </c>
      <c r="H192" s="9" t="s">
        <v>1581</v>
      </c>
      <c r="I192" s="202">
        <v>1467130.81</v>
      </c>
      <c r="J192" s="202">
        <v>38918.09375</v>
      </c>
      <c r="K192" s="202">
        <f t="shared" si="4"/>
        <v>38918.09375</v>
      </c>
      <c r="L192" s="204">
        <v>627785.27</v>
      </c>
      <c r="M192" s="6">
        <f t="shared" si="5"/>
        <v>588867.17625000002</v>
      </c>
    </row>
    <row r="193" spans="2:13" ht="45">
      <c r="B193" s="9" t="e">
        <v>#N/A</v>
      </c>
      <c r="C193" s="9">
        <v>1225289499</v>
      </c>
      <c r="D193" s="9" t="s">
        <v>1886</v>
      </c>
      <c r="E193" s="9" t="s">
        <v>3597</v>
      </c>
      <c r="F193" s="7" t="s">
        <v>3263</v>
      </c>
      <c r="G193" s="9" t="s">
        <v>1582</v>
      </c>
      <c r="H193" s="9" t="s">
        <v>1581</v>
      </c>
      <c r="I193" s="202">
        <v>1956484.81</v>
      </c>
      <c r="J193" s="202">
        <v>76756.5</v>
      </c>
      <c r="K193" s="202">
        <f t="shared" si="4"/>
        <v>76756.5</v>
      </c>
      <c r="L193" s="204">
        <v>574423.93999999994</v>
      </c>
      <c r="M193" s="6">
        <f t="shared" si="5"/>
        <v>497667.43999999994</v>
      </c>
    </row>
    <row r="194" spans="2:13" ht="45">
      <c r="B194" s="9" t="s">
        <v>813</v>
      </c>
      <c r="C194" s="9">
        <v>1821066820</v>
      </c>
      <c r="D194" s="9" t="s">
        <v>1885</v>
      </c>
      <c r="E194" s="9" t="s">
        <v>813</v>
      </c>
      <c r="F194" s="7" t="s">
        <v>2443</v>
      </c>
      <c r="G194" s="9" t="s">
        <v>1578</v>
      </c>
      <c r="H194" s="9" t="s">
        <v>1577</v>
      </c>
      <c r="I194" s="202">
        <v>624561.35</v>
      </c>
      <c r="J194" s="202">
        <v>150133.03054787643</v>
      </c>
      <c r="K194" s="202">
        <f t="shared" si="4"/>
        <v>150133.03054787643</v>
      </c>
      <c r="L194" s="204">
        <v>233712.23</v>
      </c>
      <c r="M194" s="6">
        <f t="shared" si="5"/>
        <v>83579.199452123576</v>
      </c>
    </row>
    <row r="195" spans="2:13" ht="30">
      <c r="B195" s="9" t="s">
        <v>816</v>
      </c>
      <c r="C195" s="9">
        <v>1780731737</v>
      </c>
      <c r="D195" s="9" t="s">
        <v>1884</v>
      </c>
      <c r="E195" s="9" t="s">
        <v>816</v>
      </c>
      <c r="F195" s="7" t="s">
        <v>1883</v>
      </c>
      <c r="G195" s="9" t="s">
        <v>1582</v>
      </c>
      <c r="H195" s="9" t="s">
        <v>1577</v>
      </c>
      <c r="I195" s="202">
        <v>3003677.0700000003</v>
      </c>
      <c r="J195" s="202">
        <v>376439.6124503311</v>
      </c>
      <c r="K195" s="202">
        <f t="shared" si="4"/>
        <v>376439.6124503311</v>
      </c>
      <c r="L195" s="204">
        <v>200400.52</v>
      </c>
      <c r="M195" s="6">
        <f t="shared" si="5"/>
        <v>-176039.09245033111</v>
      </c>
    </row>
    <row r="196" spans="2:13" ht="30">
      <c r="B196" s="9" t="s">
        <v>819</v>
      </c>
      <c r="C196" s="9">
        <v>1679560866</v>
      </c>
      <c r="D196" s="9" t="s">
        <v>1882</v>
      </c>
      <c r="E196" s="9" t="s">
        <v>819</v>
      </c>
      <c r="F196" s="7" t="s">
        <v>1881</v>
      </c>
      <c r="G196" s="9" t="s">
        <v>1578</v>
      </c>
      <c r="H196" s="9" t="s">
        <v>1577</v>
      </c>
      <c r="I196" s="202">
        <v>790861.98</v>
      </c>
      <c r="J196" s="202">
        <v>173791.01874999999</v>
      </c>
      <c r="K196" s="202">
        <f t="shared" si="4"/>
        <v>173791.01874999999</v>
      </c>
      <c r="L196" s="204">
        <v>642193.21</v>
      </c>
      <c r="M196" s="6">
        <f t="shared" si="5"/>
        <v>468402.19124999997</v>
      </c>
    </row>
    <row r="197" spans="2:13" ht="60">
      <c r="B197" s="9" t="s">
        <v>822</v>
      </c>
      <c r="C197" s="9">
        <v>1679678767</v>
      </c>
      <c r="D197" s="9" t="s">
        <v>1880</v>
      </c>
      <c r="E197" s="9" t="s">
        <v>822</v>
      </c>
      <c r="F197" s="7" t="s">
        <v>2499</v>
      </c>
      <c r="G197" s="9" t="s">
        <v>1578</v>
      </c>
      <c r="H197" s="9" t="s">
        <v>1581</v>
      </c>
      <c r="I197" s="202">
        <v>9454049.1099999994</v>
      </c>
      <c r="J197" s="202">
        <v>1259164.5782945734</v>
      </c>
      <c r="K197" s="202">
        <f t="shared" si="4"/>
        <v>1259164.5782945734</v>
      </c>
      <c r="L197" s="204">
        <v>3559752.96</v>
      </c>
      <c r="M197" s="6">
        <f t="shared" si="5"/>
        <v>2300588.3817054266</v>
      </c>
    </row>
    <row r="198" spans="2:13" ht="30">
      <c r="B198" s="9" t="s">
        <v>1363</v>
      </c>
      <c r="C198" s="9">
        <v>1871898478</v>
      </c>
      <c r="D198" s="9" t="s">
        <v>1879</v>
      </c>
      <c r="E198" s="9" t="s">
        <v>1363</v>
      </c>
      <c r="F198" s="7" t="s">
        <v>1878</v>
      </c>
      <c r="G198" s="9" t="s">
        <v>1582</v>
      </c>
      <c r="H198" s="9" t="s">
        <v>1581</v>
      </c>
      <c r="I198" s="202">
        <v>567450</v>
      </c>
      <c r="J198" s="202">
        <v>105368.49962406015</v>
      </c>
      <c r="K198" s="202">
        <f t="shared" si="4"/>
        <v>105368.49962406015</v>
      </c>
      <c r="L198" s="204">
        <v>316012.90999999997</v>
      </c>
      <c r="M198" s="6">
        <f t="shared" si="5"/>
        <v>210644.41037593983</v>
      </c>
    </row>
    <row r="199" spans="2:13">
      <c r="B199" s="9" t="s">
        <v>825</v>
      </c>
      <c r="C199" s="9">
        <v>1023013935</v>
      </c>
      <c r="D199" s="9" t="s">
        <v>1877</v>
      </c>
      <c r="E199" s="9" t="s">
        <v>825</v>
      </c>
      <c r="F199" s="7" t="s">
        <v>1876</v>
      </c>
      <c r="G199" s="9" t="s">
        <v>1578</v>
      </c>
      <c r="H199" s="9" t="s">
        <v>1577</v>
      </c>
      <c r="I199" s="202">
        <v>174507.59999999998</v>
      </c>
      <c r="J199" s="202">
        <v>38337.274999999994</v>
      </c>
      <c r="K199" s="202">
        <f t="shared" ref="K199:K262" si="6">J199</f>
        <v>38337.274999999994</v>
      </c>
      <c r="L199" s="204">
        <v>136683.35999999999</v>
      </c>
      <c r="M199" s="6">
        <f t="shared" si="5"/>
        <v>98346.084999999992</v>
      </c>
    </row>
    <row r="200" spans="2:13" ht="45">
      <c r="B200" s="9" t="s">
        <v>828</v>
      </c>
      <c r="C200" s="9">
        <v>1255384533</v>
      </c>
      <c r="D200" s="9" t="s">
        <v>1875</v>
      </c>
      <c r="E200" s="9" t="s">
        <v>828</v>
      </c>
      <c r="F200" s="7" t="s">
        <v>3687</v>
      </c>
      <c r="G200" s="9" t="s">
        <v>1582</v>
      </c>
      <c r="H200" s="9" t="s">
        <v>1581</v>
      </c>
      <c r="I200" s="202">
        <v>31912833.859999999</v>
      </c>
      <c r="J200" s="202">
        <v>841188.89999999991</v>
      </c>
      <c r="K200" s="202">
        <f t="shared" si="6"/>
        <v>841188.89999999991</v>
      </c>
      <c r="L200" s="204">
        <v>3319394.27</v>
      </c>
      <c r="M200" s="6">
        <f t="shared" ref="M200:M263" si="7">L200-K200</f>
        <v>2478205.37</v>
      </c>
    </row>
    <row r="201" spans="2:13" ht="75">
      <c r="B201" s="9" t="s">
        <v>831</v>
      </c>
      <c r="C201" s="9">
        <v>1427048453</v>
      </c>
      <c r="D201" s="9" t="s">
        <v>1874</v>
      </c>
      <c r="E201" s="9" t="s">
        <v>831</v>
      </c>
      <c r="F201" s="7" t="s">
        <v>3688</v>
      </c>
      <c r="G201" s="9" t="s">
        <v>1578</v>
      </c>
      <c r="H201" s="9" t="s">
        <v>1577</v>
      </c>
      <c r="I201" s="202">
        <v>2640011.7199999997</v>
      </c>
      <c r="J201" s="202">
        <v>797120.09171428578</v>
      </c>
      <c r="K201" s="202">
        <f t="shared" si="6"/>
        <v>797120.09171428578</v>
      </c>
      <c r="L201" s="204">
        <v>393126.78</v>
      </c>
      <c r="M201" s="6">
        <f t="shared" si="7"/>
        <v>-403993.31171428575</v>
      </c>
    </row>
    <row r="202" spans="2:13" ht="30">
      <c r="B202" s="9" t="s">
        <v>13</v>
      </c>
      <c r="C202" s="9">
        <v>1730132234</v>
      </c>
      <c r="D202" s="9" t="s">
        <v>1873</v>
      </c>
      <c r="E202" s="9" t="s">
        <v>13</v>
      </c>
      <c r="F202" s="7" t="s">
        <v>1869</v>
      </c>
      <c r="G202" s="9" t="s">
        <v>1582</v>
      </c>
      <c r="H202" s="9" t="s">
        <v>1581</v>
      </c>
      <c r="I202" s="202">
        <v>187964896.68000001</v>
      </c>
      <c r="J202" s="202">
        <v>18951608.959558826</v>
      </c>
      <c r="K202" s="202">
        <f t="shared" si="6"/>
        <v>18951608.959558826</v>
      </c>
      <c r="L202" s="204">
        <v>41555730.469999999</v>
      </c>
      <c r="M202" s="6">
        <f t="shared" si="7"/>
        <v>22604121.510441173</v>
      </c>
    </row>
    <row r="203" spans="2:13" ht="45">
      <c r="B203" s="9" t="s">
        <v>1870</v>
      </c>
      <c r="C203" s="9">
        <v>1710985098</v>
      </c>
      <c r="D203" s="9" t="s">
        <v>1871</v>
      </c>
      <c r="E203" s="9" t="s">
        <v>1870</v>
      </c>
      <c r="F203" s="7" t="s">
        <v>2522</v>
      </c>
      <c r="G203" s="9" t="s">
        <v>1582</v>
      </c>
      <c r="H203" s="9" t="s">
        <v>1581</v>
      </c>
      <c r="I203" s="202">
        <v>7715058.9799999995</v>
      </c>
      <c r="J203" s="202">
        <v>1276711.1544117648</v>
      </c>
      <c r="K203" s="202">
        <f t="shared" si="6"/>
        <v>1276711.1544117648</v>
      </c>
      <c r="L203" s="204">
        <v>2174875.13</v>
      </c>
      <c r="M203" s="6">
        <f t="shared" si="7"/>
        <v>898163.97558823507</v>
      </c>
    </row>
    <row r="204" spans="2:13" ht="30">
      <c r="B204" s="9" t="s">
        <v>246</v>
      </c>
      <c r="C204" s="9">
        <v>1295788735</v>
      </c>
      <c r="D204" s="9" t="s">
        <v>1867</v>
      </c>
      <c r="E204" s="9" t="s">
        <v>246</v>
      </c>
      <c r="F204" s="7" t="s">
        <v>1864</v>
      </c>
      <c r="G204" s="9" t="s">
        <v>1582</v>
      </c>
      <c r="H204" s="9" t="s">
        <v>1581</v>
      </c>
      <c r="I204" s="202">
        <v>35587994.760000005</v>
      </c>
      <c r="J204" s="202">
        <v>3202850.2205882357</v>
      </c>
      <c r="K204" s="202">
        <f t="shared" si="6"/>
        <v>3202850.2205882357</v>
      </c>
      <c r="L204" s="204">
        <v>7076740.3700000001</v>
      </c>
      <c r="M204" s="6">
        <f t="shared" si="7"/>
        <v>3873890.1494117645</v>
      </c>
    </row>
    <row r="205" spans="2:13" ht="45">
      <c r="B205" s="9" t="s">
        <v>835</v>
      </c>
      <c r="C205" s="9">
        <v>1982666111</v>
      </c>
      <c r="D205" s="9" t="s">
        <v>1925</v>
      </c>
      <c r="E205" s="9" t="s">
        <v>835</v>
      </c>
      <c r="F205" s="7" t="s">
        <v>2502</v>
      </c>
      <c r="G205" s="9" t="s">
        <v>1582</v>
      </c>
      <c r="H205" s="9" t="s">
        <v>1581</v>
      </c>
      <c r="I205" s="202">
        <v>170704724.74000001</v>
      </c>
      <c r="J205" s="202">
        <v>20611482.007352948</v>
      </c>
      <c r="K205" s="202">
        <f t="shared" si="6"/>
        <v>20611482.007352948</v>
      </c>
      <c r="L205" s="204">
        <v>37616015.170000002</v>
      </c>
      <c r="M205" s="6">
        <f t="shared" si="7"/>
        <v>17004533.162647054</v>
      </c>
    </row>
    <row r="206" spans="2:13" ht="45">
      <c r="B206" s="9" t="s">
        <v>240</v>
      </c>
      <c r="C206" s="9">
        <v>1932152337</v>
      </c>
      <c r="D206" s="9" t="s">
        <v>1866</v>
      </c>
      <c r="E206" s="9" t="s">
        <v>240</v>
      </c>
      <c r="F206" s="7" t="s">
        <v>2509</v>
      </c>
      <c r="G206" s="9" t="s">
        <v>1582</v>
      </c>
      <c r="H206" s="9" t="s">
        <v>1581</v>
      </c>
      <c r="I206" s="202">
        <v>27023597.75</v>
      </c>
      <c r="J206" s="202">
        <v>2668064.823529412</v>
      </c>
      <c r="K206" s="202">
        <f t="shared" si="6"/>
        <v>2668064.823529412</v>
      </c>
      <c r="L206" s="204">
        <v>4869652.3099999996</v>
      </c>
      <c r="M206" s="6">
        <f t="shared" si="7"/>
        <v>2201587.4864705876</v>
      </c>
    </row>
    <row r="207" spans="2:13" ht="45">
      <c r="B207" s="9" t="s">
        <v>838</v>
      </c>
      <c r="C207" s="9">
        <v>1740233782</v>
      </c>
      <c r="D207" s="9" t="s">
        <v>1868</v>
      </c>
      <c r="E207" s="9" t="s">
        <v>838</v>
      </c>
      <c r="F207" s="7" t="s">
        <v>2519</v>
      </c>
      <c r="G207" s="9" t="s">
        <v>1582</v>
      </c>
      <c r="H207" s="9" t="s">
        <v>1581</v>
      </c>
      <c r="I207" s="202">
        <v>32930668.239999998</v>
      </c>
      <c r="J207" s="202">
        <v>3844994.0992647065</v>
      </c>
      <c r="K207" s="202">
        <f t="shared" si="6"/>
        <v>3844994.0992647065</v>
      </c>
      <c r="L207" s="204">
        <v>8201527.8200000003</v>
      </c>
      <c r="M207" s="6">
        <f t="shared" si="7"/>
        <v>4356533.7207352938</v>
      </c>
    </row>
    <row r="208" spans="2:13" ht="45">
      <c r="B208" s="9" t="s">
        <v>243</v>
      </c>
      <c r="C208" s="9">
        <v>1295843787</v>
      </c>
      <c r="D208" s="9" t="s">
        <v>1865</v>
      </c>
      <c r="E208" s="9" t="s">
        <v>243</v>
      </c>
      <c r="F208" s="7" t="s">
        <v>2538</v>
      </c>
      <c r="G208" s="9" t="s">
        <v>1582</v>
      </c>
      <c r="H208" s="9" t="s">
        <v>1581</v>
      </c>
      <c r="I208" s="202">
        <v>52447639.659999996</v>
      </c>
      <c r="J208" s="202">
        <v>4673532.0183823537</v>
      </c>
      <c r="K208" s="202">
        <f t="shared" si="6"/>
        <v>4673532.0183823537</v>
      </c>
      <c r="L208" s="204">
        <v>10342674.539999999</v>
      </c>
      <c r="M208" s="6">
        <f t="shared" si="7"/>
        <v>5669142.5216176454</v>
      </c>
    </row>
    <row r="209" spans="2:13" ht="45">
      <c r="B209" s="9" t="s">
        <v>1476</v>
      </c>
      <c r="C209" s="9">
        <v>1043457583</v>
      </c>
      <c r="D209" s="9" t="s">
        <v>1863</v>
      </c>
      <c r="E209" s="9" t="s">
        <v>1476</v>
      </c>
      <c r="F209" s="7" t="s">
        <v>2570</v>
      </c>
      <c r="G209" s="9" t="s">
        <v>1582</v>
      </c>
      <c r="H209" s="9" t="s">
        <v>1581</v>
      </c>
      <c r="I209" s="202">
        <v>1050362.75</v>
      </c>
      <c r="J209" s="202">
        <v>183115.3198529412</v>
      </c>
      <c r="K209" s="202">
        <f t="shared" si="6"/>
        <v>183115.3198529412</v>
      </c>
      <c r="L209" s="204">
        <v>282390.23</v>
      </c>
      <c r="M209" s="6">
        <f t="shared" si="7"/>
        <v>99274.910147058778</v>
      </c>
    </row>
    <row r="210" spans="2:13" ht="45">
      <c r="B210" s="9" t="s">
        <v>249</v>
      </c>
      <c r="C210" s="9">
        <v>1366532228</v>
      </c>
      <c r="D210" s="9" t="s">
        <v>1862</v>
      </c>
      <c r="E210" s="9" t="s">
        <v>249</v>
      </c>
      <c r="F210" s="7" t="s">
        <v>1861</v>
      </c>
      <c r="G210" s="9" t="s">
        <v>1582</v>
      </c>
      <c r="H210" s="9" t="s">
        <v>1581</v>
      </c>
      <c r="I210" s="202">
        <v>1282260.6200000001</v>
      </c>
      <c r="J210" s="202">
        <v>17383.42279411765</v>
      </c>
      <c r="K210" s="202">
        <f t="shared" si="6"/>
        <v>17383.42279411765</v>
      </c>
      <c r="L210" s="204">
        <v>394808.04</v>
      </c>
      <c r="M210" s="6">
        <f t="shared" si="7"/>
        <v>377424.61720588233</v>
      </c>
    </row>
    <row r="211" spans="2:13" ht="60">
      <c r="B211" s="9" t="s">
        <v>841</v>
      </c>
      <c r="C211" s="9">
        <v>1033114608</v>
      </c>
      <c r="D211" s="9" t="s">
        <v>1860</v>
      </c>
      <c r="E211" s="9" t="s">
        <v>841</v>
      </c>
      <c r="F211" s="7" t="s">
        <v>2572</v>
      </c>
      <c r="G211" s="9" t="s">
        <v>1582</v>
      </c>
      <c r="H211" s="9" t="s">
        <v>1581</v>
      </c>
      <c r="I211" s="202">
        <v>434986.92000000004</v>
      </c>
      <c r="J211" s="202">
        <v>9738.2058823529424</v>
      </c>
      <c r="K211" s="202">
        <f t="shared" si="6"/>
        <v>9738.2058823529424</v>
      </c>
      <c r="L211" s="204">
        <v>149418.01</v>
      </c>
      <c r="M211" s="6">
        <f t="shared" si="7"/>
        <v>139679.80411764706</v>
      </c>
    </row>
    <row r="212" spans="2:13" ht="60">
      <c r="B212" s="9" t="s">
        <v>847</v>
      </c>
      <c r="C212" s="9">
        <v>1689650616</v>
      </c>
      <c r="D212" s="9" t="s">
        <v>1859</v>
      </c>
      <c r="E212" s="9" t="s">
        <v>847</v>
      </c>
      <c r="F212" s="7" t="s">
        <v>2468</v>
      </c>
      <c r="G212" s="9" t="s">
        <v>1582</v>
      </c>
      <c r="H212" s="9" t="s">
        <v>1581</v>
      </c>
      <c r="I212" s="202">
        <v>18192537.060000002</v>
      </c>
      <c r="J212" s="202">
        <v>1268608.3534545454</v>
      </c>
      <c r="K212" s="202">
        <f t="shared" si="6"/>
        <v>1268608.3534545454</v>
      </c>
      <c r="L212" s="204">
        <v>2546292.98</v>
      </c>
      <c r="M212" s="6">
        <f t="shared" si="7"/>
        <v>1277684.6265454546</v>
      </c>
    </row>
    <row r="213" spans="2:13" ht="30">
      <c r="B213" s="9" t="s">
        <v>850</v>
      </c>
      <c r="C213" s="9">
        <v>1689630865</v>
      </c>
      <c r="D213" s="9" t="s">
        <v>1858</v>
      </c>
      <c r="E213" s="9" t="s">
        <v>850</v>
      </c>
      <c r="F213" s="7" t="s">
        <v>1857</v>
      </c>
      <c r="G213" s="9" t="s">
        <v>1578</v>
      </c>
      <c r="H213" s="9" t="s">
        <v>1577</v>
      </c>
      <c r="I213" s="202">
        <v>3693946.61</v>
      </c>
      <c r="J213" s="202">
        <v>795867.82271604915</v>
      </c>
      <c r="K213" s="202">
        <f t="shared" si="6"/>
        <v>795867.82271604915</v>
      </c>
      <c r="L213" s="204">
        <v>524776.82999999996</v>
      </c>
      <c r="M213" s="6">
        <f t="shared" si="7"/>
        <v>-271090.99271604919</v>
      </c>
    </row>
    <row r="214" spans="2:13" ht="60">
      <c r="B214" s="9" t="s">
        <v>853</v>
      </c>
      <c r="C214" s="9">
        <v>1396746129</v>
      </c>
      <c r="D214" s="9" t="s">
        <v>1856</v>
      </c>
      <c r="E214" s="9" t="s">
        <v>853</v>
      </c>
      <c r="F214" s="7" t="s">
        <v>3689</v>
      </c>
      <c r="G214" s="9" t="s">
        <v>1582</v>
      </c>
      <c r="H214" s="9" t="s">
        <v>1581</v>
      </c>
      <c r="I214" s="202">
        <v>19847123.039999999</v>
      </c>
      <c r="J214" s="202">
        <v>1339350.3066666669</v>
      </c>
      <c r="K214" s="202">
        <f t="shared" si="6"/>
        <v>1339350.3066666669</v>
      </c>
      <c r="L214" s="204">
        <v>3709316.16</v>
      </c>
      <c r="M214" s="6">
        <f t="shared" si="7"/>
        <v>2369965.8533333335</v>
      </c>
    </row>
    <row r="215" spans="2:13" ht="30">
      <c r="B215" s="9" t="s">
        <v>856</v>
      </c>
      <c r="C215" s="9">
        <v>1578547345</v>
      </c>
      <c r="D215" s="9" t="s">
        <v>1855</v>
      </c>
      <c r="E215" s="9" t="s">
        <v>856</v>
      </c>
      <c r="F215" s="7" t="s">
        <v>1854</v>
      </c>
      <c r="G215" s="9" t="s">
        <v>1582</v>
      </c>
      <c r="H215" s="9" t="s">
        <v>1577</v>
      </c>
      <c r="I215" s="202">
        <v>1694568.54</v>
      </c>
      <c r="J215" s="202">
        <v>242818.37886792453</v>
      </c>
      <c r="K215" s="202">
        <f t="shared" si="6"/>
        <v>242818.37886792453</v>
      </c>
      <c r="L215" s="204">
        <v>355152.42</v>
      </c>
      <c r="M215" s="6">
        <f t="shared" si="7"/>
        <v>112334.04113207545</v>
      </c>
    </row>
    <row r="216" spans="2:13" ht="60">
      <c r="B216" s="9" t="s">
        <v>252</v>
      </c>
      <c r="C216" s="9">
        <v>1285028951</v>
      </c>
      <c r="D216" s="9" t="s">
        <v>1853</v>
      </c>
      <c r="E216" s="9" t="s">
        <v>252</v>
      </c>
      <c r="F216" s="7" t="s">
        <v>3734</v>
      </c>
      <c r="G216" s="9" t="s">
        <v>1582</v>
      </c>
      <c r="H216" s="9" t="s">
        <v>1581</v>
      </c>
      <c r="I216" s="202">
        <v>10401</v>
      </c>
      <c r="J216" s="202">
        <v>28.647798742140196</v>
      </c>
      <c r="K216" s="202">
        <f t="shared" si="6"/>
        <v>28.647798742140196</v>
      </c>
      <c r="L216" s="204">
        <v>8225.2800000000007</v>
      </c>
      <c r="M216" s="6">
        <f t="shared" si="7"/>
        <v>8196.6322012578603</v>
      </c>
    </row>
    <row r="217" spans="2:13" ht="60">
      <c r="B217" s="9" t="s">
        <v>258</v>
      </c>
      <c r="C217" s="9">
        <v>1184179194</v>
      </c>
      <c r="D217" s="9" t="s">
        <v>1851</v>
      </c>
      <c r="E217" s="9" t="s">
        <v>258</v>
      </c>
      <c r="F217" s="7" t="s">
        <v>2550</v>
      </c>
      <c r="G217" s="9" t="s">
        <v>1582</v>
      </c>
      <c r="H217" s="9" t="s">
        <v>1581</v>
      </c>
      <c r="I217" s="202">
        <v>9573005.7599999998</v>
      </c>
      <c r="J217" s="202">
        <v>857398.84191176482</v>
      </c>
      <c r="K217" s="202">
        <f t="shared" si="6"/>
        <v>857398.84191176482</v>
      </c>
      <c r="L217" s="204">
        <v>1471370.99</v>
      </c>
      <c r="M217" s="6">
        <f t="shared" si="7"/>
        <v>613972.14808823518</v>
      </c>
    </row>
    <row r="218" spans="2:13" ht="60">
      <c r="B218" s="9" t="s">
        <v>261</v>
      </c>
      <c r="C218" s="9">
        <v>1083937593</v>
      </c>
      <c r="D218" s="9" t="s">
        <v>1852</v>
      </c>
      <c r="E218" s="9" t="s">
        <v>261</v>
      </c>
      <c r="F218" s="7" t="s">
        <v>2564</v>
      </c>
      <c r="G218" s="9" t="s">
        <v>1582</v>
      </c>
      <c r="H218" s="9" t="s">
        <v>1581</v>
      </c>
      <c r="I218" s="202">
        <v>24441396.449999999</v>
      </c>
      <c r="J218" s="202">
        <v>2342562.7205882357</v>
      </c>
      <c r="K218" s="202">
        <f t="shared" si="6"/>
        <v>2342562.7205882357</v>
      </c>
      <c r="L218" s="204">
        <v>4013277.3</v>
      </c>
      <c r="M218" s="6">
        <f t="shared" si="7"/>
        <v>1670714.5794117642</v>
      </c>
    </row>
    <row r="219" spans="2:13" ht="60">
      <c r="B219" s="9" t="s">
        <v>862</v>
      </c>
      <c r="C219" s="9">
        <v>1376071530</v>
      </c>
      <c r="D219" s="9" t="s">
        <v>1849</v>
      </c>
      <c r="E219" s="9" t="s">
        <v>862</v>
      </c>
      <c r="F219" s="7" t="s">
        <v>2686</v>
      </c>
      <c r="G219" s="9" t="s">
        <v>1582</v>
      </c>
      <c r="H219" s="9" t="s">
        <v>1581</v>
      </c>
      <c r="I219" s="202">
        <v>13978661.760000002</v>
      </c>
      <c r="J219" s="202">
        <v>655585.40114285704</v>
      </c>
      <c r="K219" s="202">
        <f t="shared" si="6"/>
        <v>655585.40114285704</v>
      </c>
      <c r="L219" s="204">
        <v>1629213.03</v>
      </c>
      <c r="M219" s="6">
        <f t="shared" si="7"/>
        <v>973627.62885714299</v>
      </c>
    </row>
    <row r="220" spans="2:13" ht="60">
      <c r="B220" s="9" t="s">
        <v>865</v>
      </c>
      <c r="C220" s="9">
        <v>1659525236</v>
      </c>
      <c r="D220" s="9" t="s">
        <v>1850</v>
      </c>
      <c r="E220" s="9" t="s">
        <v>865</v>
      </c>
      <c r="F220" s="7" t="s">
        <v>3690</v>
      </c>
      <c r="G220" s="9" t="s">
        <v>1582</v>
      </c>
      <c r="H220" s="9" t="s">
        <v>1581</v>
      </c>
      <c r="I220" s="202">
        <v>18714848.559999999</v>
      </c>
      <c r="J220" s="202">
        <v>893374.73006134981</v>
      </c>
      <c r="K220" s="202">
        <f t="shared" si="6"/>
        <v>893374.73006134981</v>
      </c>
      <c r="L220" s="204">
        <v>3176433.81</v>
      </c>
      <c r="M220" s="6">
        <f t="shared" si="7"/>
        <v>2283059.0799386501</v>
      </c>
    </row>
    <row r="221" spans="2:13">
      <c r="B221" s="9" t="s">
        <v>868</v>
      </c>
      <c r="C221" s="9">
        <v>1124074273</v>
      </c>
      <c r="D221" s="9" t="s">
        <v>1848</v>
      </c>
      <c r="E221" s="9" t="s">
        <v>868</v>
      </c>
      <c r="F221" s="7" t="s">
        <v>1847</v>
      </c>
      <c r="G221" s="9" t="s">
        <v>1582</v>
      </c>
      <c r="H221" s="9" t="s">
        <v>1581</v>
      </c>
      <c r="I221" s="202">
        <v>254824267.77000022</v>
      </c>
      <c r="J221" s="202">
        <v>11290260.288343558</v>
      </c>
      <c r="K221" s="202">
        <f t="shared" si="6"/>
        <v>11290260.288343558</v>
      </c>
      <c r="L221" s="204">
        <v>39837289.359999999</v>
      </c>
      <c r="M221" s="6">
        <f t="shared" si="7"/>
        <v>28547029.071656443</v>
      </c>
    </row>
    <row r="222" spans="2:13" ht="45">
      <c r="B222" s="9" t="s">
        <v>871</v>
      </c>
      <c r="C222" s="9">
        <v>1225146400</v>
      </c>
      <c r="D222" s="9" t="s">
        <v>1846</v>
      </c>
      <c r="E222" s="9" t="s">
        <v>871</v>
      </c>
      <c r="F222" s="7" t="s">
        <v>2448</v>
      </c>
      <c r="G222" s="9" t="s">
        <v>1582</v>
      </c>
      <c r="H222" s="9" t="s">
        <v>1581</v>
      </c>
      <c r="I222" s="202">
        <v>4891201.5</v>
      </c>
      <c r="J222" s="202">
        <v>522298.72351351345</v>
      </c>
      <c r="K222" s="202">
        <f t="shared" si="6"/>
        <v>522298.72351351345</v>
      </c>
      <c r="L222" s="204">
        <v>1338776.6399999999</v>
      </c>
      <c r="M222" s="6">
        <f t="shared" si="7"/>
        <v>816477.91648648644</v>
      </c>
    </row>
    <row r="223" spans="2:13" ht="60">
      <c r="B223" s="9" t="s">
        <v>874</v>
      </c>
      <c r="C223" s="9">
        <v>1275592131</v>
      </c>
      <c r="D223" s="9" t="s">
        <v>1845</v>
      </c>
      <c r="E223" s="9" t="s">
        <v>874</v>
      </c>
      <c r="F223" s="7" t="s">
        <v>2660</v>
      </c>
      <c r="G223" s="9" t="s">
        <v>1582</v>
      </c>
      <c r="H223" s="9" t="s">
        <v>1581</v>
      </c>
      <c r="I223" s="202">
        <v>26774724.079999998</v>
      </c>
      <c r="J223" s="202">
        <v>1609091.4518072288</v>
      </c>
      <c r="K223" s="202">
        <f t="shared" si="6"/>
        <v>1609091.4518072288</v>
      </c>
      <c r="L223" s="204">
        <v>6252283.6299999999</v>
      </c>
      <c r="M223" s="6">
        <f t="shared" si="7"/>
        <v>4643192.178192771</v>
      </c>
    </row>
    <row r="224" spans="2:13" ht="60">
      <c r="B224" s="9" t="s">
        <v>264</v>
      </c>
      <c r="C224" s="9">
        <v>1689629941</v>
      </c>
      <c r="D224" s="9" t="s">
        <v>1844</v>
      </c>
      <c r="E224" s="9" t="s">
        <v>264</v>
      </c>
      <c r="F224" s="7" t="s">
        <v>2261</v>
      </c>
      <c r="G224" s="9" t="s">
        <v>1582</v>
      </c>
      <c r="H224" s="9" t="s">
        <v>1581</v>
      </c>
      <c r="I224" s="202">
        <v>9616063.370000001</v>
      </c>
      <c r="J224" s="202">
        <v>424683.18125000002</v>
      </c>
      <c r="K224" s="202">
        <f t="shared" si="6"/>
        <v>424683.18125000002</v>
      </c>
      <c r="L224" s="204">
        <v>2298289.15</v>
      </c>
      <c r="M224" s="6">
        <f t="shared" si="7"/>
        <v>1873605.96875</v>
      </c>
    </row>
    <row r="225" spans="2:13" ht="60">
      <c r="B225" s="9" t="s">
        <v>877</v>
      </c>
      <c r="C225" s="9">
        <v>1073580726</v>
      </c>
      <c r="D225" s="9" t="s">
        <v>1843</v>
      </c>
      <c r="E225" s="9" t="s">
        <v>877</v>
      </c>
      <c r="F225" s="7" t="s">
        <v>3691</v>
      </c>
      <c r="G225" s="9" t="s">
        <v>1582</v>
      </c>
      <c r="H225" s="9" t="s">
        <v>1581</v>
      </c>
      <c r="I225" s="202">
        <v>12703559.98</v>
      </c>
      <c r="J225" s="202">
        <v>942720.80756756756</v>
      </c>
      <c r="K225" s="202">
        <f t="shared" si="6"/>
        <v>942720.80756756756</v>
      </c>
      <c r="L225" s="204">
        <v>2828274.86</v>
      </c>
      <c r="M225" s="6">
        <f t="shared" si="7"/>
        <v>1885554.0524324323</v>
      </c>
    </row>
    <row r="226" spans="2:13" ht="60">
      <c r="B226" s="9" t="s">
        <v>3598</v>
      </c>
      <c r="C226" s="9">
        <v>1487271375</v>
      </c>
      <c r="D226" s="9" t="s">
        <v>3284</v>
      </c>
      <c r="E226" s="9" t="s">
        <v>3598</v>
      </c>
      <c r="F226" s="7" t="s">
        <v>3692</v>
      </c>
      <c r="G226" s="9" t="s">
        <v>1582</v>
      </c>
      <c r="H226" s="9" t="s">
        <v>1581</v>
      </c>
      <c r="I226" s="202">
        <v>1040942.76</v>
      </c>
      <c r="J226" s="202">
        <v>176032.01000000004</v>
      </c>
      <c r="K226" s="202">
        <f t="shared" si="6"/>
        <v>176032.01000000004</v>
      </c>
      <c r="L226" s="204">
        <v>244743.65</v>
      </c>
      <c r="M226" s="6">
        <f t="shared" si="7"/>
        <v>68711.639999999956</v>
      </c>
    </row>
    <row r="227" spans="2:13" ht="45">
      <c r="B227" s="9" t="s">
        <v>3599</v>
      </c>
      <c r="C227" s="9">
        <v>1568818417</v>
      </c>
      <c r="D227" s="9" t="s">
        <v>3600</v>
      </c>
      <c r="E227" s="88" t="s">
        <v>3599</v>
      </c>
      <c r="F227" s="7" t="s">
        <v>3601</v>
      </c>
      <c r="G227" s="9" t="s">
        <v>1582</v>
      </c>
      <c r="H227" s="9" t="s">
        <v>1581</v>
      </c>
      <c r="I227" s="202">
        <v>9133.3299999999981</v>
      </c>
      <c r="J227" s="202">
        <v>1130.1499999999999</v>
      </c>
      <c r="K227" s="202">
        <f t="shared" si="6"/>
        <v>1130.1499999999999</v>
      </c>
      <c r="L227" s="204">
        <v>2086.0500000000002</v>
      </c>
      <c r="M227" s="6">
        <f t="shared" si="7"/>
        <v>955.90000000000032</v>
      </c>
    </row>
    <row r="228" spans="2:13" ht="45">
      <c r="B228" s="9" t="s">
        <v>880</v>
      </c>
      <c r="C228" s="9">
        <v>1528027786</v>
      </c>
      <c r="D228" s="9" t="s">
        <v>1842</v>
      </c>
      <c r="E228" s="9" t="s">
        <v>880</v>
      </c>
      <c r="F228" s="7" t="s">
        <v>2649</v>
      </c>
      <c r="G228" s="9" t="s">
        <v>1582</v>
      </c>
      <c r="H228" s="9" t="s">
        <v>1581</v>
      </c>
      <c r="I228" s="202">
        <v>37463033.420000002</v>
      </c>
      <c r="J228" s="202">
        <v>1923102.8674698789</v>
      </c>
      <c r="K228" s="202">
        <f t="shared" si="6"/>
        <v>1923102.8674698789</v>
      </c>
      <c r="L228" s="204">
        <v>10812940.35</v>
      </c>
      <c r="M228" s="6">
        <f t="shared" si="7"/>
        <v>8889837.4825301208</v>
      </c>
    </row>
    <row r="229" spans="2:13" ht="60">
      <c r="B229" s="9" t="s">
        <v>267</v>
      </c>
      <c r="C229" s="9">
        <v>1033165501</v>
      </c>
      <c r="D229" s="9" t="s">
        <v>1841</v>
      </c>
      <c r="E229" s="9" t="s">
        <v>267</v>
      </c>
      <c r="F229" s="7" t="s">
        <v>2670</v>
      </c>
      <c r="G229" s="9" t="s">
        <v>1582</v>
      </c>
      <c r="H229" s="9" t="s">
        <v>1581</v>
      </c>
      <c r="I229" s="202">
        <v>11409529.050000001</v>
      </c>
      <c r="J229" s="202">
        <v>982359.95180722885</v>
      </c>
      <c r="K229" s="202">
        <f t="shared" si="6"/>
        <v>982359.95180722885</v>
      </c>
      <c r="L229" s="204">
        <v>3569722.17</v>
      </c>
      <c r="M229" s="6">
        <f t="shared" si="7"/>
        <v>2587362.2181927711</v>
      </c>
    </row>
    <row r="230" spans="2:13" ht="30">
      <c r="B230" s="9" t="s">
        <v>270</v>
      </c>
      <c r="C230" s="9">
        <v>1952538431</v>
      </c>
      <c r="D230" s="9" t="s">
        <v>2165</v>
      </c>
      <c r="E230" s="9" t="s">
        <v>270</v>
      </c>
      <c r="F230" s="7" t="s">
        <v>2622</v>
      </c>
      <c r="G230" s="9" t="s">
        <v>1582</v>
      </c>
      <c r="H230" s="9" t="s">
        <v>1581</v>
      </c>
      <c r="I230" s="202">
        <v>125142.91</v>
      </c>
      <c r="J230" s="202">
        <v>3686.7280797153098</v>
      </c>
      <c r="K230" s="202">
        <f t="shared" si="6"/>
        <v>3686.7280797153098</v>
      </c>
      <c r="L230" s="204">
        <v>53123.17</v>
      </c>
      <c r="M230" s="6">
        <f t="shared" si="7"/>
        <v>49436.441920284691</v>
      </c>
    </row>
    <row r="231" spans="2:13" ht="60">
      <c r="B231" s="9" t="s">
        <v>273</v>
      </c>
      <c r="C231" s="9">
        <v>1497871628</v>
      </c>
      <c r="D231" s="9" t="s">
        <v>1840</v>
      </c>
      <c r="E231" s="9" t="s">
        <v>273</v>
      </c>
      <c r="F231" s="7" t="s">
        <v>2531</v>
      </c>
      <c r="G231" s="9" t="s">
        <v>1582</v>
      </c>
      <c r="H231" s="9" t="s">
        <v>1581</v>
      </c>
      <c r="I231" s="202">
        <v>21105599.799999997</v>
      </c>
      <c r="J231" s="202">
        <v>1900003.4742647063</v>
      </c>
      <c r="K231" s="202">
        <f t="shared" si="6"/>
        <v>1900003.4742647063</v>
      </c>
      <c r="L231" s="204">
        <v>3693479.97</v>
      </c>
      <c r="M231" s="6">
        <f t="shared" si="7"/>
        <v>1793476.495735294</v>
      </c>
    </row>
    <row r="232" spans="2:13" ht="45">
      <c r="B232" s="9" t="s">
        <v>276</v>
      </c>
      <c r="C232" s="9">
        <v>1871619254</v>
      </c>
      <c r="D232" s="9" t="s">
        <v>1839</v>
      </c>
      <c r="E232" s="9" t="s">
        <v>276</v>
      </c>
      <c r="F232" s="7" t="s">
        <v>2513</v>
      </c>
      <c r="G232" s="9" t="s">
        <v>1582</v>
      </c>
      <c r="H232" s="9" t="s">
        <v>1581</v>
      </c>
      <c r="I232" s="202">
        <v>37596429.07</v>
      </c>
      <c r="J232" s="202">
        <v>4624568.2095588241</v>
      </c>
      <c r="K232" s="202">
        <f t="shared" si="6"/>
        <v>4624568.2095588241</v>
      </c>
      <c r="L232" s="204">
        <v>6101900.4400000004</v>
      </c>
      <c r="M232" s="6">
        <f t="shared" si="7"/>
        <v>1477332.2304411763</v>
      </c>
    </row>
    <row r="233" spans="2:13" ht="45">
      <c r="B233" s="9" t="s">
        <v>883</v>
      </c>
      <c r="C233" s="9">
        <v>1437171568</v>
      </c>
      <c r="D233" s="9" t="s">
        <v>2028</v>
      </c>
      <c r="E233" s="9" t="s">
        <v>883</v>
      </c>
      <c r="F233" s="7" t="s">
        <v>2464</v>
      </c>
      <c r="G233" s="9" t="s">
        <v>1582</v>
      </c>
      <c r="H233" s="9" t="s">
        <v>1581</v>
      </c>
      <c r="I233" s="202">
        <v>88906674.290000021</v>
      </c>
      <c r="J233" s="202">
        <v>5244843.9576271186</v>
      </c>
      <c r="K233" s="202">
        <f t="shared" si="6"/>
        <v>5244843.9576271186</v>
      </c>
      <c r="L233" s="204">
        <v>17481968.300000001</v>
      </c>
      <c r="M233" s="6">
        <f t="shared" si="7"/>
        <v>12237124.342372883</v>
      </c>
    </row>
    <row r="234" spans="2:13" ht="45">
      <c r="B234" s="9" t="s">
        <v>886</v>
      </c>
      <c r="C234" s="9">
        <v>1629089966</v>
      </c>
      <c r="D234" s="9" t="s">
        <v>1837</v>
      </c>
      <c r="E234" s="9" t="s">
        <v>886</v>
      </c>
      <c r="F234" s="7" t="s">
        <v>2436</v>
      </c>
      <c r="G234" s="9" t="s">
        <v>1582</v>
      </c>
      <c r="H234" s="9" t="s">
        <v>1581</v>
      </c>
      <c r="I234" s="202">
        <v>23712641.780000001</v>
      </c>
      <c r="J234" s="202">
        <v>1681269.9053254439</v>
      </c>
      <c r="K234" s="202">
        <f t="shared" si="6"/>
        <v>1681269.9053254439</v>
      </c>
      <c r="L234" s="204">
        <v>6146949.8799999999</v>
      </c>
      <c r="M234" s="6">
        <f t="shared" si="7"/>
        <v>4465679.9746745564</v>
      </c>
    </row>
    <row r="235" spans="2:13" ht="60">
      <c r="B235" s="9" t="s">
        <v>279</v>
      </c>
      <c r="C235" s="9">
        <v>1750392916</v>
      </c>
      <c r="D235" s="9" t="s">
        <v>1836</v>
      </c>
      <c r="E235" s="9" t="s">
        <v>279</v>
      </c>
      <c r="F235" s="7" t="s">
        <v>2423</v>
      </c>
      <c r="G235" s="9" t="s">
        <v>1582</v>
      </c>
      <c r="H235" s="9" t="s">
        <v>1577</v>
      </c>
      <c r="I235" s="202">
        <v>1890644.9999999998</v>
      </c>
      <c r="J235" s="202">
        <v>293863.78331125824</v>
      </c>
      <c r="K235" s="202">
        <f t="shared" si="6"/>
        <v>293863.78331125824</v>
      </c>
      <c r="L235" s="204">
        <v>232125.07</v>
      </c>
      <c r="M235" s="6">
        <f t="shared" si="7"/>
        <v>-61738.713311258238</v>
      </c>
    </row>
    <row r="236" spans="2:13" ht="30">
      <c r="B236" s="9" t="s">
        <v>3596</v>
      </c>
      <c r="C236" s="9">
        <v>1326349986</v>
      </c>
      <c r="D236" s="9" t="s">
        <v>3262</v>
      </c>
      <c r="E236" s="9" t="s">
        <v>3596</v>
      </c>
      <c r="F236" s="7" t="s">
        <v>3693</v>
      </c>
      <c r="G236" s="9" t="s">
        <v>1582</v>
      </c>
      <c r="H236" s="9" t="s">
        <v>1577</v>
      </c>
      <c r="I236" s="202">
        <v>809092.74</v>
      </c>
      <c r="J236" s="202">
        <v>145460.41245033112</v>
      </c>
      <c r="K236" s="202">
        <f t="shared" si="6"/>
        <v>145460.41245033112</v>
      </c>
      <c r="L236" s="204">
        <v>200350.78</v>
      </c>
      <c r="M236" s="6">
        <f t="shared" si="7"/>
        <v>54890.367549668881</v>
      </c>
    </row>
    <row r="237" spans="2:13" ht="60">
      <c r="B237" s="9" t="s">
        <v>889</v>
      </c>
      <c r="C237" s="9">
        <v>1255325817</v>
      </c>
      <c r="D237" s="9" t="s">
        <v>1835</v>
      </c>
      <c r="E237" s="9" t="s">
        <v>889</v>
      </c>
      <c r="F237" s="7" t="s">
        <v>2371</v>
      </c>
      <c r="G237" s="9" t="s">
        <v>1578</v>
      </c>
      <c r="H237" s="9" t="s">
        <v>1581</v>
      </c>
      <c r="I237" s="202">
        <v>31198747.109999999</v>
      </c>
      <c r="J237" s="202">
        <v>2470166.0441988949</v>
      </c>
      <c r="K237" s="202">
        <f t="shared" si="6"/>
        <v>2470166.0441988949</v>
      </c>
      <c r="L237" s="204">
        <v>7701975.4199999999</v>
      </c>
      <c r="M237" s="6">
        <f t="shared" si="7"/>
        <v>5231809.3758011051</v>
      </c>
    </row>
    <row r="238" spans="2:13" ht="45">
      <c r="B238" s="9" t="s">
        <v>590</v>
      </c>
      <c r="C238" s="9">
        <v>1205833985</v>
      </c>
      <c r="D238" s="9" t="s">
        <v>1834</v>
      </c>
      <c r="E238" s="9" t="s">
        <v>590</v>
      </c>
      <c r="F238" s="7" t="s">
        <v>2490</v>
      </c>
      <c r="G238" s="9" t="s">
        <v>1582</v>
      </c>
      <c r="H238" s="9" t="s">
        <v>1581</v>
      </c>
      <c r="I238" s="202">
        <v>29078501.650000006</v>
      </c>
      <c r="J238" s="202">
        <v>1559254.5443786983</v>
      </c>
      <c r="K238" s="202">
        <f t="shared" si="6"/>
        <v>1559254.5443786983</v>
      </c>
      <c r="L238" s="204">
        <v>4309433.9400000004</v>
      </c>
      <c r="M238" s="6">
        <f t="shared" si="7"/>
        <v>2750179.3956213021</v>
      </c>
    </row>
    <row r="239" spans="2:13" ht="60">
      <c r="B239" s="9" t="s">
        <v>892</v>
      </c>
      <c r="C239" s="9">
        <v>1184631673</v>
      </c>
      <c r="D239" s="9" t="s">
        <v>1833</v>
      </c>
      <c r="E239" s="9" t="s">
        <v>892</v>
      </c>
      <c r="F239" s="7" t="s">
        <v>2343</v>
      </c>
      <c r="G239" s="9" t="s">
        <v>1578</v>
      </c>
      <c r="H239" s="9" t="s">
        <v>1577</v>
      </c>
      <c r="I239" s="202">
        <v>422526.28</v>
      </c>
      <c r="J239" s="202">
        <v>126806.08149999999</v>
      </c>
      <c r="K239" s="202">
        <f t="shared" si="6"/>
        <v>126806.08149999999</v>
      </c>
      <c r="L239" s="204">
        <v>247780.27</v>
      </c>
      <c r="M239" s="6">
        <f t="shared" si="7"/>
        <v>120974.1885</v>
      </c>
    </row>
    <row r="240" spans="2:13">
      <c r="B240" s="9" t="s">
        <v>895</v>
      </c>
      <c r="C240" s="9">
        <v>1700991700</v>
      </c>
      <c r="D240" s="9" t="s">
        <v>1832</v>
      </c>
      <c r="E240" s="9" t="s">
        <v>895</v>
      </c>
      <c r="F240" s="7" t="s">
        <v>3694</v>
      </c>
      <c r="G240" s="9" t="s">
        <v>1578</v>
      </c>
      <c r="H240" s="9" t="s">
        <v>1577</v>
      </c>
      <c r="I240" s="202">
        <v>2149807.1</v>
      </c>
      <c r="J240" s="202">
        <v>338685.94674999994</v>
      </c>
      <c r="K240" s="202">
        <f t="shared" si="6"/>
        <v>338685.94674999994</v>
      </c>
      <c r="L240" s="204">
        <v>340538.91</v>
      </c>
      <c r="M240" s="6">
        <f t="shared" si="7"/>
        <v>1852.9632500000298</v>
      </c>
    </row>
    <row r="241" spans="2:13" ht="30">
      <c r="B241" s="9" t="s">
        <v>288</v>
      </c>
      <c r="C241" s="9">
        <v>1952306672</v>
      </c>
      <c r="D241" s="9" t="s">
        <v>1831</v>
      </c>
      <c r="E241" s="9" t="s">
        <v>288</v>
      </c>
      <c r="F241" s="7" t="s">
        <v>1830</v>
      </c>
      <c r="G241" s="9" t="s">
        <v>1582</v>
      </c>
      <c r="H241" s="9" t="s">
        <v>1577</v>
      </c>
      <c r="I241" s="202">
        <v>6142336.6100000003</v>
      </c>
      <c r="J241" s="202">
        <v>595997.74968553463</v>
      </c>
      <c r="K241" s="202">
        <f t="shared" si="6"/>
        <v>595997.74968553463</v>
      </c>
      <c r="L241" s="204">
        <v>0</v>
      </c>
      <c r="M241" s="6">
        <f t="shared" si="7"/>
        <v>-595997.74968553463</v>
      </c>
    </row>
    <row r="242" spans="2:13" ht="75">
      <c r="B242" s="9" t="s">
        <v>898</v>
      </c>
      <c r="C242" s="9">
        <v>1679578439</v>
      </c>
      <c r="D242" s="9" t="s">
        <v>1829</v>
      </c>
      <c r="E242" s="9" t="s">
        <v>898</v>
      </c>
      <c r="F242" s="7" t="s">
        <v>2398</v>
      </c>
      <c r="G242" s="9" t="s">
        <v>1582</v>
      </c>
      <c r="H242" s="9" t="s">
        <v>1581</v>
      </c>
      <c r="I242" s="202">
        <v>71939528.930000007</v>
      </c>
      <c r="J242" s="202">
        <v>3392756.6684782607</v>
      </c>
      <c r="K242" s="202">
        <f t="shared" si="6"/>
        <v>3392756.6684782607</v>
      </c>
      <c r="L242" s="204">
        <v>14078594.58</v>
      </c>
      <c r="M242" s="6">
        <f t="shared" si="7"/>
        <v>10685837.91152174</v>
      </c>
    </row>
    <row r="243" spans="2:13" ht="30">
      <c r="B243" s="9" t="s">
        <v>901</v>
      </c>
      <c r="C243" s="9">
        <v>1659308948</v>
      </c>
      <c r="D243" s="9" t="s">
        <v>1828</v>
      </c>
      <c r="E243" s="9" t="s">
        <v>901</v>
      </c>
      <c r="F243" s="7" t="s">
        <v>1827</v>
      </c>
      <c r="G243" s="9" t="s">
        <v>1582</v>
      </c>
      <c r="H243" s="9" t="s">
        <v>1577</v>
      </c>
      <c r="I243" s="202">
        <v>2164706.2700000005</v>
      </c>
      <c r="J243" s="202">
        <v>264801.54616352206</v>
      </c>
      <c r="K243" s="202">
        <f t="shared" si="6"/>
        <v>264801.54616352206</v>
      </c>
      <c r="L243" s="204">
        <v>78267.990000000005</v>
      </c>
      <c r="M243" s="6">
        <f t="shared" si="7"/>
        <v>-186533.55616352207</v>
      </c>
    </row>
    <row r="244" spans="2:13" ht="45">
      <c r="B244" s="9" t="s">
        <v>291</v>
      </c>
      <c r="C244" s="9">
        <v>1386647717</v>
      </c>
      <c r="D244" s="9" t="s">
        <v>1826</v>
      </c>
      <c r="E244" s="9" t="s">
        <v>291</v>
      </c>
      <c r="F244" s="7" t="s">
        <v>3695</v>
      </c>
      <c r="G244" s="9" t="s">
        <v>1582</v>
      </c>
      <c r="H244" s="9" t="s">
        <v>1581</v>
      </c>
      <c r="I244" s="202">
        <v>738625.83000000007</v>
      </c>
      <c r="J244" s="202">
        <v>30647.138554216861</v>
      </c>
      <c r="K244" s="202">
        <f t="shared" si="6"/>
        <v>30647.138554216861</v>
      </c>
      <c r="L244" s="204">
        <v>312512.59000000003</v>
      </c>
      <c r="M244" s="6">
        <f t="shared" si="7"/>
        <v>281865.45144578314</v>
      </c>
    </row>
    <row r="245" spans="2:13" ht="45">
      <c r="B245" s="9" t="s">
        <v>904</v>
      </c>
      <c r="C245" s="9">
        <v>1699770149</v>
      </c>
      <c r="D245" s="9" t="s">
        <v>1825</v>
      </c>
      <c r="E245" s="9" t="s">
        <v>904</v>
      </c>
      <c r="F245" s="7" t="s">
        <v>2382</v>
      </c>
      <c r="G245" s="9" t="s">
        <v>1578</v>
      </c>
      <c r="H245" s="9" t="s">
        <v>1577</v>
      </c>
      <c r="I245" s="202">
        <v>51767.34</v>
      </c>
      <c r="J245" s="202">
        <v>16623.847741935486</v>
      </c>
      <c r="K245" s="202">
        <f t="shared" si="6"/>
        <v>16623.847741935486</v>
      </c>
      <c r="L245" s="204">
        <v>24970.57</v>
      </c>
      <c r="M245" s="6">
        <f t="shared" si="7"/>
        <v>8346.7222580645139</v>
      </c>
    </row>
    <row r="246" spans="2:13" ht="45">
      <c r="B246" s="4" t="s">
        <v>3759</v>
      </c>
      <c r="C246" s="4" t="s">
        <v>3590</v>
      </c>
      <c r="D246" s="9" t="s">
        <v>1824</v>
      </c>
      <c r="E246" s="4" t="s">
        <v>3759</v>
      </c>
      <c r="F246" s="7" t="s">
        <v>2380</v>
      </c>
      <c r="G246" s="9" t="s">
        <v>1578</v>
      </c>
      <c r="H246" s="9" t="s">
        <v>1581</v>
      </c>
      <c r="I246" s="202">
        <v>9063940.370000001</v>
      </c>
      <c r="J246" s="202">
        <v>941303.07645161287</v>
      </c>
      <c r="K246" s="202">
        <f t="shared" si="6"/>
        <v>941303.07645161287</v>
      </c>
      <c r="L246" s="204">
        <v>1958171.32</v>
      </c>
      <c r="M246" s="6">
        <f t="shared" si="7"/>
        <v>1016868.2435483872</v>
      </c>
    </row>
    <row r="247" spans="2:13" ht="30">
      <c r="B247" s="9" t="s">
        <v>908</v>
      </c>
      <c r="C247" s="9">
        <v>1700885076</v>
      </c>
      <c r="D247" s="9" t="s">
        <v>1823</v>
      </c>
      <c r="E247" s="9" t="s">
        <v>908</v>
      </c>
      <c r="F247" s="7" t="s">
        <v>1822</v>
      </c>
      <c r="G247" s="9" t="s">
        <v>1582</v>
      </c>
      <c r="H247" s="9" t="s">
        <v>1581</v>
      </c>
      <c r="I247" s="202">
        <v>31048721.600000001</v>
      </c>
      <c r="J247" s="202">
        <v>1361792.1189937107</v>
      </c>
      <c r="K247" s="202">
        <f t="shared" si="6"/>
        <v>1361792.1189937107</v>
      </c>
      <c r="L247" s="204">
        <v>3573707.86</v>
      </c>
      <c r="M247" s="6">
        <f t="shared" si="7"/>
        <v>2211915.7410062891</v>
      </c>
    </row>
    <row r="248" spans="2:13" ht="45">
      <c r="B248" s="9" t="s">
        <v>911</v>
      </c>
      <c r="C248" s="9">
        <v>1144274226</v>
      </c>
      <c r="D248" s="9" t="s">
        <v>1821</v>
      </c>
      <c r="E248" s="9" t="s">
        <v>911</v>
      </c>
      <c r="F248" s="7" t="s">
        <v>3696</v>
      </c>
      <c r="G248" s="9" t="s">
        <v>1582</v>
      </c>
      <c r="H248" s="9" t="s">
        <v>1581</v>
      </c>
      <c r="I248" s="202">
        <v>13261647.439999999</v>
      </c>
      <c r="J248" s="202">
        <v>609423.45693251537</v>
      </c>
      <c r="K248" s="202">
        <f t="shared" si="6"/>
        <v>609423.45693251537</v>
      </c>
      <c r="L248" s="204">
        <v>2297766.08</v>
      </c>
      <c r="M248" s="6">
        <f t="shared" si="7"/>
        <v>1688342.6230674847</v>
      </c>
    </row>
    <row r="249" spans="2:13" ht="30">
      <c r="B249" s="9" t="s">
        <v>1487</v>
      </c>
      <c r="C249" s="9">
        <v>1992285282</v>
      </c>
      <c r="D249" s="9" t="s">
        <v>2764</v>
      </c>
      <c r="E249" s="9" t="s">
        <v>1487</v>
      </c>
      <c r="F249" s="7" t="s">
        <v>2431</v>
      </c>
      <c r="G249" s="9" t="s">
        <v>1582</v>
      </c>
      <c r="H249" s="9" t="s">
        <v>1577</v>
      </c>
      <c r="I249" s="202">
        <v>4180388.66</v>
      </c>
      <c r="J249" s="202">
        <v>399282.39195266273</v>
      </c>
      <c r="K249" s="202">
        <f t="shared" si="6"/>
        <v>399282.39195266273</v>
      </c>
      <c r="L249" s="204">
        <v>157644.13</v>
      </c>
      <c r="M249" s="6">
        <f t="shared" si="7"/>
        <v>-241638.26195266272</v>
      </c>
    </row>
    <row r="250" spans="2:13" ht="45">
      <c r="B250" s="9" t="s">
        <v>920</v>
      </c>
      <c r="C250" s="9">
        <v>1689655912</v>
      </c>
      <c r="D250" s="9" t="s">
        <v>1813</v>
      </c>
      <c r="E250" s="9" t="s">
        <v>920</v>
      </c>
      <c r="F250" s="7" t="s">
        <v>2383</v>
      </c>
      <c r="G250" s="9" t="s">
        <v>1578</v>
      </c>
      <c r="H250" s="9" t="s">
        <v>1581</v>
      </c>
      <c r="I250" s="202">
        <v>478572</v>
      </c>
      <c r="J250" s="202">
        <v>70783.555483870965</v>
      </c>
      <c r="K250" s="202">
        <f t="shared" si="6"/>
        <v>70783.555483870965</v>
      </c>
      <c r="L250" s="204">
        <v>192767.27</v>
      </c>
      <c r="M250" s="6">
        <f t="shared" si="7"/>
        <v>121983.71451612902</v>
      </c>
    </row>
    <row r="251" spans="2:13" ht="30">
      <c r="B251" s="9" t="s">
        <v>923</v>
      </c>
      <c r="C251" s="9">
        <v>1548236524</v>
      </c>
      <c r="D251" s="9" t="s">
        <v>2167</v>
      </c>
      <c r="E251" s="9" t="s">
        <v>923</v>
      </c>
      <c r="F251" s="7" t="s">
        <v>2168</v>
      </c>
      <c r="G251" s="9" t="s">
        <v>1582</v>
      </c>
      <c r="H251" s="9" t="s">
        <v>1581</v>
      </c>
      <c r="I251" s="202">
        <v>7088.9400000000005</v>
      </c>
      <c r="J251" s="202">
        <v>40.052940644970406</v>
      </c>
      <c r="K251" s="202">
        <f t="shared" si="6"/>
        <v>40.052940644970406</v>
      </c>
      <c r="L251" s="204">
        <v>2942.62</v>
      </c>
      <c r="M251" s="6">
        <f t="shared" si="7"/>
        <v>2902.5670593550294</v>
      </c>
    </row>
    <row r="252" spans="2:13" ht="30">
      <c r="B252" s="9" t="s">
        <v>3602</v>
      </c>
      <c r="C252" s="9">
        <v>1669003729</v>
      </c>
      <c r="D252" s="9" t="s">
        <v>3603</v>
      </c>
      <c r="E252" s="9" t="s">
        <v>3602</v>
      </c>
      <c r="F252" s="7" t="s">
        <v>3735</v>
      </c>
      <c r="G252" s="9" t="s">
        <v>1582</v>
      </c>
      <c r="H252" s="9" t="s">
        <v>1581</v>
      </c>
      <c r="I252" s="202">
        <v>636427.90999999992</v>
      </c>
      <c r="J252" s="202">
        <v>13617.509999999998</v>
      </c>
      <c r="K252" s="202">
        <f t="shared" si="6"/>
        <v>13617.509999999998</v>
      </c>
      <c r="L252" s="204">
        <v>163741.93</v>
      </c>
      <c r="M252" s="6">
        <f t="shared" si="7"/>
        <v>150124.41999999998</v>
      </c>
    </row>
    <row r="253" spans="2:13" ht="45">
      <c r="B253" s="9" t="s">
        <v>2741</v>
      </c>
      <c r="C253" s="9">
        <v>1750819025</v>
      </c>
      <c r="D253" s="9" t="s">
        <v>1811</v>
      </c>
      <c r="E253" s="9" t="s">
        <v>2741</v>
      </c>
      <c r="F253" s="7" t="s">
        <v>3697</v>
      </c>
      <c r="G253" s="9" t="s">
        <v>1582</v>
      </c>
      <c r="H253" s="9" t="s">
        <v>1581</v>
      </c>
      <c r="I253" s="202">
        <v>36503690.030000001</v>
      </c>
      <c r="J253" s="202">
        <v>1234973.4485294116</v>
      </c>
      <c r="K253" s="202">
        <f t="shared" si="6"/>
        <v>1234973.4485294116</v>
      </c>
      <c r="L253" s="204">
        <v>4742354.99</v>
      </c>
      <c r="M253" s="6">
        <f t="shared" si="7"/>
        <v>3507381.5414705887</v>
      </c>
    </row>
    <row r="254" spans="2:13" ht="30">
      <c r="B254" s="9" t="s">
        <v>926</v>
      </c>
      <c r="C254" s="9">
        <v>1205837770</v>
      </c>
      <c r="D254" s="9" t="s">
        <v>1810</v>
      </c>
      <c r="E254" s="9" t="s">
        <v>926</v>
      </c>
      <c r="F254" s="7" t="s">
        <v>2341</v>
      </c>
      <c r="G254" s="9" t="s">
        <v>1578</v>
      </c>
      <c r="H254" s="9" t="s">
        <v>1577</v>
      </c>
      <c r="I254" s="202">
        <v>241358.66</v>
      </c>
      <c r="J254" s="202">
        <v>53234.371999999988</v>
      </c>
      <c r="K254" s="202">
        <f t="shared" si="6"/>
        <v>53234.371999999988</v>
      </c>
      <c r="L254" s="204">
        <v>165456.48000000001</v>
      </c>
      <c r="M254" s="6">
        <f t="shared" si="7"/>
        <v>112222.10800000002</v>
      </c>
    </row>
    <row r="255" spans="2:13" ht="30">
      <c r="B255" s="9" t="s">
        <v>929</v>
      </c>
      <c r="C255" s="9">
        <v>1871911016</v>
      </c>
      <c r="D255" s="9" t="s">
        <v>1809</v>
      </c>
      <c r="E255" s="9" t="s">
        <v>929</v>
      </c>
      <c r="F255" s="7" t="s">
        <v>3698</v>
      </c>
      <c r="G255" s="9" t="s">
        <v>1582</v>
      </c>
      <c r="H255" s="9" t="s">
        <v>1581</v>
      </c>
      <c r="I255" s="202">
        <v>20621216.439999998</v>
      </c>
      <c r="J255" s="202">
        <v>579367.5625</v>
      </c>
      <c r="K255" s="202">
        <f t="shared" si="6"/>
        <v>579367.5625</v>
      </c>
      <c r="L255" s="204">
        <v>2249692.2200000002</v>
      </c>
      <c r="M255" s="6">
        <f t="shared" si="7"/>
        <v>1670324.6575000002</v>
      </c>
    </row>
    <row r="256" spans="2:13" ht="45">
      <c r="B256" s="9" t="s">
        <v>932</v>
      </c>
      <c r="C256" s="9">
        <v>1396748471</v>
      </c>
      <c r="D256" s="9" t="s">
        <v>2169</v>
      </c>
      <c r="E256" s="9" t="s">
        <v>932</v>
      </c>
      <c r="F256" s="7" t="s">
        <v>2334</v>
      </c>
      <c r="G256" s="9" t="s">
        <v>1578</v>
      </c>
      <c r="H256" s="9" t="s">
        <v>1577</v>
      </c>
      <c r="I256" s="202">
        <v>171142.03</v>
      </c>
      <c r="J256" s="202">
        <v>55230.884249999981</v>
      </c>
      <c r="K256" s="202">
        <f t="shared" si="6"/>
        <v>55230.884249999981</v>
      </c>
      <c r="L256" s="204">
        <v>94945.84</v>
      </c>
      <c r="M256" s="6">
        <f t="shared" si="7"/>
        <v>39714.955750000016</v>
      </c>
    </row>
    <row r="257" spans="2:13" ht="60">
      <c r="B257" s="9" t="s">
        <v>1568</v>
      </c>
      <c r="C257" s="9">
        <v>1467442418</v>
      </c>
      <c r="D257" s="9" t="s">
        <v>1807</v>
      </c>
      <c r="E257" s="9" t="s">
        <v>1568</v>
      </c>
      <c r="F257" s="7" t="s">
        <v>2458</v>
      </c>
      <c r="G257" s="9" t="s">
        <v>1582</v>
      </c>
      <c r="H257" s="9" t="s">
        <v>1581</v>
      </c>
      <c r="I257" s="202">
        <v>77799116.590000004</v>
      </c>
      <c r="J257" s="202">
        <v>7646088.7874999978</v>
      </c>
      <c r="K257" s="202">
        <f t="shared" si="6"/>
        <v>7646088.7874999978</v>
      </c>
      <c r="L257" s="204">
        <v>13342548.5</v>
      </c>
      <c r="M257" s="6">
        <f t="shared" si="7"/>
        <v>5696459.7125000022</v>
      </c>
    </row>
    <row r="258" spans="2:13" ht="45">
      <c r="B258" s="9" t="s">
        <v>1047</v>
      </c>
      <c r="C258" s="9">
        <v>1700883196</v>
      </c>
      <c r="D258" s="9" t="s">
        <v>1806</v>
      </c>
      <c r="E258" s="9" t="s">
        <v>1047</v>
      </c>
      <c r="F258" s="7" t="s">
        <v>2575</v>
      </c>
      <c r="G258" s="9" t="s">
        <v>1578</v>
      </c>
      <c r="H258" s="9" t="s">
        <v>1581</v>
      </c>
      <c r="I258" s="202">
        <v>16574156.759999998</v>
      </c>
      <c r="J258" s="202">
        <v>2119985.1502890168</v>
      </c>
      <c r="K258" s="202">
        <f t="shared" si="6"/>
        <v>2119985.1502890168</v>
      </c>
      <c r="L258" s="204">
        <v>4145528.09</v>
      </c>
      <c r="M258" s="6">
        <f t="shared" si="7"/>
        <v>2025542.9397109831</v>
      </c>
    </row>
    <row r="259" spans="2:13" ht="30">
      <c r="B259" s="9" t="s">
        <v>938</v>
      </c>
      <c r="C259" s="9">
        <v>1255708715</v>
      </c>
      <c r="D259" s="9" t="s">
        <v>1805</v>
      </c>
      <c r="E259" s="9" t="s">
        <v>938</v>
      </c>
      <c r="F259" s="7" t="s">
        <v>2682</v>
      </c>
      <c r="G259" s="9" t="s">
        <v>1582</v>
      </c>
      <c r="H259" s="9" t="s">
        <v>1581</v>
      </c>
      <c r="I259" s="202">
        <v>639302.57000000007</v>
      </c>
      <c r="J259" s="202">
        <v>207609.24475524478</v>
      </c>
      <c r="K259" s="202">
        <f t="shared" si="6"/>
        <v>207609.24475524478</v>
      </c>
      <c r="L259" s="204">
        <v>186430.86</v>
      </c>
      <c r="M259" s="6">
        <f t="shared" si="7"/>
        <v>-21178.384755244799</v>
      </c>
    </row>
    <row r="260" spans="2:13" ht="45">
      <c r="B260" s="9" t="s">
        <v>941</v>
      </c>
      <c r="C260" s="9">
        <v>1245237593</v>
      </c>
      <c r="D260" s="9" t="s">
        <v>1804</v>
      </c>
      <c r="E260" s="9" t="s">
        <v>941</v>
      </c>
      <c r="F260" s="7" t="s">
        <v>3699</v>
      </c>
      <c r="G260" s="9" t="s">
        <v>1578</v>
      </c>
      <c r="H260" s="9" t="s">
        <v>1577</v>
      </c>
      <c r="I260" s="202">
        <v>651692.33000000007</v>
      </c>
      <c r="J260" s="202">
        <v>154225.28424999997</v>
      </c>
      <c r="K260" s="202">
        <f t="shared" si="6"/>
        <v>154225.28424999997</v>
      </c>
      <c r="L260" s="204">
        <v>250796.43</v>
      </c>
      <c r="M260" s="6">
        <f t="shared" si="7"/>
        <v>96571.145750000025</v>
      </c>
    </row>
    <row r="261" spans="2:13" ht="45">
      <c r="B261" s="9" t="s">
        <v>944</v>
      </c>
      <c r="C261" s="9">
        <v>1801852736</v>
      </c>
      <c r="D261" s="9" t="s">
        <v>1802</v>
      </c>
      <c r="E261" s="9" t="s">
        <v>944</v>
      </c>
      <c r="F261" s="7" t="s">
        <v>2364</v>
      </c>
      <c r="G261" s="9" t="s">
        <v>1582</v>
      </c>
      <c r="H261" s="9" t="s">
        <v>1581</v>
      </c>
      <c r="I261" s="202">
        <v>21787570.029999997</v>
      </c>
      <c r="J261" s="202">
        <v>785952.65142857144</v>
      </c>
      <c r="K261" s="202">
        <f t="shared" si="6"/>
        <v>785952.65142857144</v>
      </c>
      <c r="L261" s="204">
        <v>3959503.03</v>
      </c>
      <c r="M261" s="6">
        <f t="shared" si="7"/>
        <v>3173550.3785714284</v>
      </c>
    </row>
    <row r="262" spans="2:13" ht="45">
      <c r="B262" s="9" t="s">
        <v>729</v>
      </c>
      <c r="C262" s="9">
        <v>1134137466</v>
      </c>
      <c r="D262" s="9" t="s">
        <v>1965</v>
      </c>
      <c r="E262" s="9" t="s">
        <v>729</v>
      </c>
      <c r="F262" s="7" t="s">
        <v>3700</v>
      </c>
      <c r="G262" s="9" t="s">
        <v>1578</v>
      </c>
      <c r="H262" s="9" t="s">
        <v>1577</v>
      </c>
      <c r="I262" s="202">
        <v>844554</v>
      </c>
      <c r="J262" s="202">
        <v>139600.41024999999</v>
      </c>
      <c r="K262" s="202">
        <f t="shared" si="6"/>
        <v>139600.41024999999</v>
      </c>
      <c r="L262" s="204">
        <v>217827.37</v>
      </c>
      <c r="M262" s="6">
        <f t="shared" si="7"/>
        <v>78226.959750000009</v>
      </c>
    </row>
    <row r="263" spans="2:13" ht="75">
      <c r="B263" s="9" t="s">
        <v>304</v>
      </c>
      <c r="C263" s="9">
        <v>1295890093</v>
      </c>
      <c r="D263" s="9" t="s">
        <v>2180</v>
      </c>
      <c r="E263" s="9" t="s">
        <v>304</v>
      </c>
      <c r="F263" s="7" t="s">
        <v>2704</v>
      </c>
      <c r="G263" s="9" t="s">
        <v>1582</v>
      </c>
      <c r="H263" s="9" t="s">
        <v>1581</v>
      </c>
      <c r="I263" s="202">
        <v>692.56</v>
      </c>
      <c r="J263" s="202">
        <v>0.01</v>
      </c>
      <c r="K263" s="202">
        <f t="shared" ref="K263:K326" si="8">J263</f>
        <v>0.01</v>
      </c>
      <c r="L263" s="204">
        <v>324.77</v>
      </c>
      <c r="M263" s="6">
        <f t="shared" si="7"/>
        <v>324.76</v>
      </c>
    </row>
    <row r="264" spans="2:13" ht="45">
      <c r="B264" s="9" t="s">
        <v>950</v>
      </c>
      <c r="C264" s="9">
        <v>1134166192</v>
      </c>
      <c r="D264" s="9" t="s">
        <v>1801</v>
      </c>
      <c r="E264" s="9" t="s">
        <v>950</v>
      </c>
      <c r="F264" s="7" t="s">
        <v>2562</v>
      </c>
      <c r="G264" s="9" t="s">
        <v>1582</v>
      </c>
      <c r="H264" s="9" t="s">
        <v>1581</v>
      </c>
      <c r="I264" s="202">
        <v>9989675.5199999996</v>
      </c>
      <c r="J264" s="202">
        <v>792521.88970588241</v>
      </c>
      <c r="K264" s="202">
        <f t="shared" si="8"/>
        <v>792521.88970588241</v>
      </c>
      <c r="L264" s="204">
        <v>1274682.6000000001</v>
      </c>
      <c r="M264" s="6">
        <f t="shared" ref="M264:M327" si="9">L264-K264</f>
        <v>482160.71029411769</v>
      </c>
    </row>
    <row r="265" spans="2:13" ht="30">
      <c r="B265" s="9" t="s">
        <v>953</v>
      </c>
      <c r="C265" s="9">
        <v>1780786699</v>
      </c>
      <c r="D265" s="9" t="s">
        <v>1800</v>
      </c>
      <c r="E265" s="9" t="s">
        <v>953</v>
      </c>
      <c r="F265" s="7" t="s">
        <v>1799</v>
      </c>
      <c r="G265" s="9" t="s">
        <v>1582</v>
      </c>
      <c r="H265" s="9" t="s">
        <v>1577</v>
      </c>
      <c r="I265" s="202">
        <v>829180.17999999993</v>
      </c>
      <c r="J265" s="202">
        <v>116802.10312138728</v>
      </c>
      <c r="K265" s="202">
        <f t="shared" si="8"/>
        <v>116802.10312138728</v>
      </c>
      <c r="L265" s="204">
        <v>444712.55</v>
      </c>
      <c r="M265" s="6">
        <f t="shared" si="9"/>
        <v>327910.44687861274</v>
      </c>
    </row>
    <row r="266" spans="2:13" ht="60">
      <c r="B266" s="9" t="s">
        <v>1562</v>
      </c>
      <c r="C266" s="9">
        <v>1164510673</v>
      </c>
      <c r="D266" s="9" t="s">
        <v>1797</v>
      </c>
      <c r="E266" s="9" t="s">
        <v>1562</v>
      </c>
      <c r="F266" s="7" t="s">
        <v>2392</v>
      </c>
      <c r="G266" s="9" t="s">
        <v>1582</v>
      </c>
      <c r="H266" s="9" t="s">
        <v>1581</v>
      </c>
      <c r="I266" s="202">
        <v>15032665.210000001</v>
      </c>
      <c r="J266" s="202">
        <v>817176.7881761007</v>
      </c>
      <c r="K266" s="202">
        <f t="shared" si="8"/>
        <v>817176.7881761007</v>
      </c>
      <c r="L266" s="204">
        <v>2545030.2200000002</v>
      </c>
      <c r="M266" s="6">
        <f t="shared" si="9"/>
        <v>1727853.4318238995</v>
      </c>
    </row>
    <row r="267" spans="2:13" ht="30">
      <c r="B267" s="9" t="s">
        <v>956</v>
      </c>
      <c r="C267" s="9">
        <v>1972590602</v>
      </c>
      <c r="D267" s="9" t="s">
        <v>1796</v>
      </c>
      <c r="E267" s="9" t="s">
        <v>956</v>
      </c>
      <c r="F267" s="7" t="s">
        <v>1795</v>
      </c>
      <c r="G267" s="9" t="s">
        <v>1578</v>
      </c>
      <c r="H267" s="9" t="s">
        <v>1581</v>
      </c>
      <c r="I267" s="202">
        <v>4818845.8900000006</v>
      </c>
      <c r="J267" s="202">
        <v>472142.12699999998</v>
      </c>
      <c r="K267" s="202">
        <f t="shared" si="8"/>
        <v>472142.12699999998</v>
      </c>
      <c r="L267" s="204">
        <v>1631882.4</v>
      </c>
      <c r="M267" s="6">
        <f t="shared" si="9"/>
        <v>1159740.273</v>
      </c>
    </row>
    <row r="268" spans="2:13" ht="30">
      <c r="B268" s="9" t="s">
        <v>962</v>
      </c>
      <c r="C268" s="9">
        <v>1497708929</v>
      </c>
      <c r="D268" s="9" t="s">
        <v>1791</v>
      </c>
      <c r="E268" s="9" t="s">
        <v>962</v>
      </c>
      <c r="F268" s="7" t="s">
        <v>1790</v>
      </c>
      <c r="G268" s="9" t="s">
        <v>1582</v>
      </c>
      <c r="H268" s="9" t="s">
        <v>1581</v>
      </c>
      <c r="I268" s="202">
        <v>4135087.0500000007</v>
      </c>
      <c r="J268" s="202">
        <v>269384.87947019865</v>
      </c>
      <c r="K268" s="202">
        <f t="shared" si="8"/>
        <v>269384.87947019865</v>
      </c>
      <c r="L268" s="204">
        <v>567234.69999999995</v>
      </c>
      <c r="M268" s="6">
        <f t="shared" si="9"/>
        <v>297849.82052980131</v>
      </c>
    </row>
    <row r="269" spans="2:13" ht="45">
      <c r="B269" s="9" t="s">
        <v>965</v>
      </c>
      <c r="C269" s="9">
        <v>1861475626</v>
      </c>
      <c r="D269" s="9" t="s">
        <v>1789</v>
      </c>
      <c r="E269" s="9" t="s">
        <v>965</v>
      </c>
      <c r="F269" s="7" t="s">
        <v>3702</v>
      </c>
      <c r="G269" s="9" t="s">
        <v>3675</v>
      </c>
      <c r="H269" s="9" t="s">
        <v>1577</v>
      </c>
      <c r="I269" s="202">
        <v>335695.63</v>
      </c>
      <c r="J269" s="202">
        <v>114315.00925170069</v>
      </c>
      <c r="K269" s="202">
        <f t="shared" si="8"/>
        <v>114315.00925170069</v>
      </c>
      <c r="L269" s="204">
        <v>169213.7</v>
      </c>
      <c r="M269" s="6">
        <f t="shared" si="9"/>
        <v>54898.690748299327</v>
      </c>
    </row>
    <row r="270" spans="2:13" ht="30">
      <c r="B270" s="9" t="s">
        <v>314</v>
      </c>
      <c r="C270" s="9">
        <v>1760598692</v>
      </c>
      <c r="D270" s="9" t="s">
        <v>1787</v>
      </c>
      <c r="E270" s="9" t="s">
        <v>314</v>
      </c>
      <c r="F270" s="7" t="s">
        <v>2324</v>
      </c>
      <c r="G270" s="9" t="s">
        <v>1578</v>
      </c>
      <c r="H270" s="9" t="s">
        <v>1577</v>
      </c>
      <c r="I270" s="202">
        <v>1317493.44</v>
      </c>
      <c r="J270" s="202">
        <v>238237.21124999999</v>
      </c>
      <c r="K270" s="202">
        <f t="shared" si="8"/>
        <v>238237.21124999999</v>
      </c>
      <c r="L270" s="204">
        <v>330353.58</v>
      </c>
      <c r="M270" s="6">
        <f t="shared" si="9"/>
        <v>92116.368750000023</v>
      </c>
    </row>
    <row r="271" spans="2:13" ht="60">
      <c r="B271" s="9" t="s">
        <v>968</v>
      </c>
      <c r="C271" s="9">
        <v>1316933609</v>
      </c>
      <c r="D271" s="9" t="s">
        <v>1785</v>
      </c>
      <c r="E271" s="9" t="s">
        <v>968</v>
      </c>
      <c r="F271" s="7" t="s">
        <v>970</v>
      </c>
      <c r="G271" s="9" t="s">
        <v>1582</v>
      </c>
      <c r="H271" s="9" t="s">
        <v>1581</v>
      </c>
      <c r="I271" s="202">
        <v>387691.21</v>
      </c>
      <c r="J271" s="202">
        <v>38907.277108433729</v>
      </c>
      <c r="K271" s="202">
        <f t="shared" si="8"/>
        <v>38907.277108433729</v>
      </c>
      <c r="L271" s="204">
        <v>115435.83</v>
      </c>
      <c r="M271" s="6">
        <f t="shared" si="9"/>
        <v>76528.552891566273</v>
      </c>
    </row>
    <row r="272" spans="2:13" ht="45">
      <c r="B272" s="9" t="s">
        <v>317</v>
      </c>
      <c r="C272" s="9">
        <v>1912948845</v>
      </c>
      <c r="D272" s="9" t="s">
        <v>1784</v>
      </c>
      <c r="E272" s="9" t="s">
        <v>317</v>
      </c>
      <c r="F272" s="7" t="s">
        <v>2453</v>
      </c>
      <c r="G272" s="9" t="s">
        <v>1582</v>
      </c>
      <c r="H272" s="9" t="s">
        <v>1581</v>
      </c>
      <c r="I272" s="202">
        <v>2496225.3600000003</v>
      </c>
      <c r="J272" s="202">
        <v>15957.787499999999</v>
      </c>
      <c r="K272" s="202">
        <f t="shared" si="8"/>
        <v>15957.787499999999</v>
      </c>
      <c r="L272" s="204">
        <v>800040.23</v>
      </c>
      <c r="M272" s="6">
        <f t="shared" si="9"/>
        <v>784082.4425</v>
      </c>
    </row>
    <row r="273" spans="2:13" ht="45">
      <c r="B273" s="9" t="s">
        <v>1180</v>
      </c>
      <c r="C273" s="9">
        <v>1487607792</v>
      </c>
      <c r="D273" s="9" t="s">
        <v>1584</v>
      </c>
      <c r="E273" s="9" t="s">
        <v>1180</v>
      </c>
      <c r="F273" s="7" t="s">
        <v>3703</v>
      </c>
      <c r="G273" s="9" t="s">
        <v>1582</v>
      </c>
      <c r="H273" s="9" t="s">
        <v>1581</v>
      </c>
      <c r="I273" s="202">
        <v>24028887.469999991</v>
      </c>
      <c r="J273" s="202">
        <v>686505.48754716979</v>
      </c>
      <c r="K273" s="202">
        <f t="shared" si="8"/>
        <v>686505.48754716979</v>
      </c>
      <c r="L273" s="204">
        <v>2578972.44</v>
      </c>
      <c r="M273" s="6">
        <f t="shared" si="9"/>
        <v>1892466.95245283</v>
      </c>
    </row>
    <row r="274" spans="2:13" ht="45">
      <c r="B274" s="9" t="s">
        <v>971</v>
      </c>
      <c r="C274" s="9">
        <v>1083112023</v>
      </c>
      <c r="D274" s="9" t="s">
        <v>1783</v>
      </c>
      <c r="E274" s="9" t="s">
        <v>971</v>
      </c>
      <c r="F274" s="7" t="s">
        <v>2666</v>
      </c>
      <c r="G274" s="9" t="s">
        <v>1582</v>
      </c>
      <c r="H274" s="9" t="s">
        <v>1581</v>
      </c>
      <c r="I274" s="202">
        <v>12584394.220000003</v>
      </c>
      <c r="J274" s="202">
        <v>517811.35542168672</v>
      </c>
      <c r="K274" s="202">
        <f t="shared" si="8"/>
        <v>517811.35542168672</v>
      </c>
      <c r="L274" s="204">
        <v>2324574.2000000002</v>
      </c>
      <c r="M274" s="6">
        <f t="shared" si="9"/>
        <v>1806762.8445783134</v>
      </c>
    </row>
    <row r="275" spans="2:13" ht="45">
      <c r="B275" s="9" t="s">
        <v>320</v>
      </c>
      <c r="C275" s="9">
        <v>1184132524</v>
      </c>
      <c r="D275" s="9" t="s">
        <v>2005</v>
      </c>
      <c r="E275" s="9" t="s">
        <v>320</v>
      </c>
      <c r="F275" s="7" t="s">
        <v>2391</v>
      </c>
      <c r="G275" s="9" t="s">
        <v>1582</v>
      </c>
      <c r="H275" s="9" t="s">
        <v>1577</v>
      </c>
      <c r="I275" s="202">
        <v>7449700.25</v>
      </c>
      <c r="J275" s="202">
        <v>819937.88729559747</v>
      </c>
      <c r="K275" s="202">
        <f t="shared" si="8"/>
        <v>819937.88729559747</v>
      </c>
      <c r="L275" s="204">
        <v>166778.68</v>
      </c>
      <c r="M275" s="6">
        <f t="shared" si="9"/>
        <v>-653159.20729559753</v>
      </c>
    </row>
    <row r="276" spans="2:13" ht="60">
      <c r="B276" s="9" t="s">
        <v>1495</v>
      </c>
      <c r="C276" s="9">
        <v>1043552177</v>
      </c>
      <c r="D276" s="9" t="s">
        <v>2746</v>
      </c>
      <c r="E276" s="9" t="s">
        <v>1495</v>
      </c>
      <c r="F276" s="7" t="s">
        <v>2669</v>
      </c>
      <c r="G276" s="9" t="s">
        <v>1582</v>
      </c>
      <c r="H276" s="9" t="s">
        <v>1581</v>
      </c>
      <c r="I276" s="202">
        <v>3963</v>
      </c>
      <c r="J276" s="202">
        <v>576.43373493975901</v>
      </c>
      <c r="K276" s="202">
        <f t="shared" si="8"/>
        <v>576.43373493975901</v>
      </c>
      <c r="L276" s="204">
        <v>888.11</v>
      </c>
      <c r="M276" s="6">
        <f t="shared" si="9"/>
        <v>311.67626506024101</v>
      </c>
    </row>
    <row r="277" spans="2:13" ht="60">
      <c r="B277" s="9" t="s">
        <v>323</v>
      </c>
      <c r="C277" s="9">
        <v>1114962842</v>
      </c>
      <c r="D277" s="9" t="s">
        <v>1782</v>
      </c>
      <c r="E277" s="9" t="s">
        <v>323</v>
      </c>
      <c r="F277" s="7" t="s">
        <v>2208</v>
      </c>
      <c r="G277" s="9" t="s">
        <v>1582</v>
      </c>
      <c r="H277" s="9" t="s">
        <v>1581</v>
      </c>
      <c r="I277" s="202">
        <v>78951.399999999994</v>
      </c>
      <c r="J277" s="202">
        <v>13129.056202531643</v>
      </c>
      <c r="K277" s="202">
        <f t="shared" si="8"/>
        <v>13129.056202531643</v>
      </c>
      <c r="L277" s="204">
        <v>19443.52</v>
      </c>
      <c r="M277" s="6">
        <f t="shared" si="9"/>
        <v>6314.4637974683574</v>
      </c>
    </row>
    <row r="278" spans="2:13" ht="60">
      <c r="B278" s="9" t="s">
        <v>3152</v>
      </c>
      <c r="C278" s="9">
        <v>1376588228</v>
      </c>
      <c r="D278" s="9" t="s">
        <v>1781</v>
      </c>
      <c r="E278" s="9" t="s">
        <v>3152</v>
      </c>
      <c r="F278" s="7" t="s">
        <v>328</v>
      </c>
      <c r="G278" s="9" t="s">
        <v>1582</v>
      </c>
      <c r="H278" s="9" t="s">
        <v>1581</v>
      </c>
      <c r="I278" s="202">
        <v>1133854.07</v>
      </c>
      <c r="J278" s="202">
        <v>212611.57668711658</v>
      </c>
      <c r="K278" s="202">
        <f t="shared" si="8"/>
        <v>212611.57668711658</v>
      </c>
      <c r="L278" s="204">
        <v>275225.84000000003</v>
      </c>
      <c r="M278" s="6">
        <f t="shared" si="9"/>
        <v>62614.263312883442</v>
      </c>
    </row>
    <row r="279" spans="2:13" ht="60">
      <c r="B279" s="9" t="s">
        <v>329</v>
      </c>
      <c r="C279" s="9">
        <v>1659316115</v>
      </c>
      <c r="D279" s="9" t="s">
        <v>2188</v>
      </c>
      <c r="E279" s="9" t="s">
        <v>329</v>
      </c>
      <c r="F279" s="7" t="s">
        <v>2306</v>
      </c>
      <c r="G279" s="9" t="s">
        <v>1582</v>
      </c>
      <c r="H279" s="9" t="s">
        <v>1581</v>
      </c>
      <c r="I279" s="202">
        <v>16434.300000000003</v>
      </c>
      <c r="J279" s="202">
        <v>2001.2592592592591</v>
      </c>
      <c r="K279" s="202">
        <f t="shared" si="8"/>
        <v>2001.2592592592591</v>
      </c>
      <c r="L279" s="204">
        <v>3462.77</v>
      </c>
      <c r="M279" s="6">
        <f t="shared" si="9"/>
        <v>1461.5107407407409</v>
      </c>
    </row>
    <row r="280" spans="2:13" ht="75">
      <c r="B280" s="9" t="s">
        <v>1539</v>
      </c>
      <c r="C280" s="9">
        <v>1003340639</v>
      </c>
      <c r="D280" s="9" t="s">
        <v>2748</v>
      </c>
      <c r="E280" s="9" t="s">
        <v>1539</v>
      </c>
      <c r="F280" s="7" t="s">
        <v>2314</v>
      </c>
      <c r="G280" s="9" t="s">
        <v>1582</v>
      </c>
      <c r="H280" s="9" t="s">
        <v>1581</v>
      </c>
      <c r="I280" s="202">
        <v>263154.62</v>
      </c>
      <c r="J280" s="202">
        <v>78276.024691358019</v>
      </c>
      <c r="K280" s="202">
        <f t="shared" si="8"/>
        <v>78276.024691358019</v>
      </c>
      <c r="L280" s="204">
        <v>46046.91</v>
      </c>
      <c r="M280" s="6">
        <f t="shared" si="9"/>
        <v>-32229.114691358016</v>
      </c>
    </row>
    <row r="281" spans="2:13" ht="60">
      <c r="B281" s="9" t="s">
        <v>338</v>
      </c>
      <c r="C281" s="9">
        <v>1407121189</v>
      </c>
      <c r="D281" s="9" t="s">
        <v>1780</v>
      </c>
      <c r="E281" s="9" t="s">
        <v>338</v>
      </c>
      <c r="F281" s="7" t="s">
        <v>2355</v>
      </c>
      <c r="G281" s="9" t="s">
        <v>1582</v>
      </c>
      <c r="H281" s="9" t="s">
        <v>1577</v>
      </c>
      <c r="I281" s="202">
        <v>1103434.27</v>
      </c>
      <c r="J281" s="202">
        <v>214530.06068027206</v>
      </c>
      <c r="K281" s="202">
        <f t="shared" si="8"/>
        <v>214530.06068027206</v>
      </c>
      <c r="L281" s="204">
        <v>314319.43</v>
      </c>
      <c r="M281" s="6">
        <f t="shared" si="9"/>
        <v>99789.369319727935</v>
      </c>
    </row>
    <row r="282" spans="2:13" ht="60">
      <c r="B282" s="9" t="s">
        <v>341</v>
      </c>
      <c r="C282" s="9">
        <v>1295764553</v>
      </c>
      <c r="D282" s="9" t="s">
        <v>1779</v>
      </c>
      <c r="E282" s="9" t="s">
        <v>341</v>
      </c>
      <c r="F282" s="7" t="s">
        <v>2358</v>
      </c>
      <c r="G282" s="9" t="s">
        <v>1582</v>
      </c>
      <c r="H282" s="9" t="s">
        <v>1577</v>
      </c>
      <c r="I282" s="202">
        <v>126309.55</v>
      </c>
      <c r="J282" s="202">
        <v>65099.516835902876</v>
      </c>
      <c r="K282" s="202">
        <f t="shared" si="8"/>
        <v>65099.516835902876</v>
      </c>
      <c r="L282" s="204">
        <v>96298.4</v>
      </c>
      <c r="M282" s="6">
        <f t="shared" si="9"/>
        <v>31198.883164097118</v>
      </c>
    </row>
    <row r="283" spans="2:13" ht="45">
      <c r="B283" s="9" t="s">
        <v>344</v>
      </c>
      <c r="C283" s="9">
        <v>1932379856</v>
      </c>
      <c r="D283" s="9" t="s">
        <v>1778</v>
      </c>
      <c r="E283" s="9" t="s">
        <v>344</v>
      </c>
      <c r="F283" s="7" t="s">
        <v>2385</v>
      </c>
      <c r="G283" s="9" t="s">
        <v>1582</v>
      </c>
      <c r="H283" s="9" t="s">
        <v>1577</v>
      </c>
      <c r="I283" s="202">
        <v>486621.09</v>
      </c>
      <c r="J283" s="202">
        <v>119539.54666666666</v>
      </c>
      <c r="K283" s="202">
        <f t="shared" si="8"/>
        <v>119539.54666666666</v>
      </c>
      <c r="L283" s="204">
        <v>108419.18</v>
      </c>
      <c r="M283" s="6">
        <f t="shared" si="9"/>
        <v>-11120.366666666669</v>
      </c>
    </row>
    <row r="284" spans="2:13" ht="60">
      <c r="B284" s="9" t="s">
        <v>974</v>
      </c>
      <c r="C284" s="9">
        <v>1477594299</v>
      </c>
      <c r="D284" s="9" t="s">
        <v>1777</v>
      </c>
      <c r="E284" s="9" t="s">
        <v>974</v>
      </c>
      <c r="F284" s="7" t="s">
        <v>2353</v>
      </c>
      <c r="G284" s="9" t="s">
        <v>1582</v>
      </c>
      <c r="H284" s="9" t="s">
        <v>1577</v>
      </c>
      <c r="I284" s="202">
        <v>284205.65000000002</v>
      </c>
      <c r="J284" s="202">
        <v>104736.74721088435</v>
      </c>
      <c r="K284" s="202">
        <f t="shared" si="8"/>
        <v>104736.74721088435</v>
      </c>
      <c r="L284" s="204">
        <v>241202.89</v>
      </c>
      <c r="M284" s="6">
        <f t="shared" si="9"/>
        <v>136466.14278911566</v>
      </c>
    </row>
    <row r="285" spans="2:13" ht="45">
      <c r="B285" s="9" t="s">
        <v>347</v>
      </c>
      <c r="C285" s="9">
        <v>1164688495</v>
      </c>
      <c r="D285" s="9" t="s">
        <v>2162</v>
      </c>
      <c r="E285" s="9" t="s">
        <v>347</v>
      </c>
      <c r="F285" s="7" t="s">
        <v>2360</v>
      </c>
      <c r="G285" s="9" t="s">
        <v>1582</v>
      </c>
      <c r="H285" s="9" t="s">
        <v>1577</v>
      </c>
      <c r="I285" s="202">
        <v>456006.25</v>
      </c>
      <c r="J285" s="202">
        <v>104942.29605442178</v>
      </c>
      <c r="K285" s="202">
        <f t="shared" si="8"/>
        <v>104942.29605442178</v>
      </c>
      <c r="L285" s="204">
        <v>303259.89</v>
      </c>
      <c r="M285" s="6">
        <f t="shared" si="9"/>
        <v>198317.59394557824</v>
      </c>
    </row>
    <row r="286" spans="2:13" ht="60">
      <c r="B286" s="9" t="s">
        <v>350</v>
      </c>
      <c r="C286" s="9">
        <v>1619368339</v>
      </c>
      <c r="D286" s="9" t="s">
        <v>1776</v>
      </c>
      <c r="E286" s="9" t="s">
        <v>350</v>
      </c>
      <c r="F286" s="7" t="s">
        <v>2351</v>
      </c>
      <c r="G286" s="9" t="s">
        <v>1582</v>
      </c>
      <c r="H286" s="9" t="s">
        <v>1577</v>
      </c>
      <c r="I286" s="202">
        <v>705178.48</v>
      </c>
      <c r="J286" s="202">
        <v>101280.64952380952</v>
      </c>
      <c r="K286" s="202">
        <f t="shared" si="8"/>
        <v>101280.64952380952</v>
      </c>
      <c r="L286" s="204">
        <v>231948.08</v>
      </c>
      <c r="M286" s="6">
        <f t="shared" si="9"/>
        <v>130667.43047619046</v>
      </c>
    </row>
    <row r="287" spans="2:13" ht="45">
      <c r="B287" s="9" t="s">
        <v>977</v>
      </c>
      <c r="C287" s="9">
        <v>1013970862</v>
      </c>
      <c r="D287" s="9" t="s">
        <v>1775</v>
      </c>
      <c r="E287" s="9" t="s">
        <v>977</v>
      </c>
      <c r="F287" s="7" t="s">
        <v>2361</v>
      </c>
      <c r="G287" s="9" t="s">
        <v>1582</v>
      </c>
      <c r="H287" s="9" t="s">
        <v>1577</v>
      </c>
      <c r="I287" s="202">
        <v>311996.44999999995</v>
      </c>
      <c r="J287" s="202">
        <v>63403.840518424331</v>
      </c>
      <c r="K287" s="202">
        <f t="shared" si="8"/>
        <v>63403.840518424331</v>
      </c>
      <c r="L287" s="204">
        <v>155553.94</v>
      </c>
      <c r="M287" s="6">
        <f t="shared" si="9"/>
        <v>92150.099481575671</v>
      </c>
    </row>
    <row r="288" spans="2:13" ht="30">
      <c r="B288" s="9" t="s">
        <v>353</v>
      </c>
      <c r="C288" s="9">
        <v>1700805678</v>
      </c>
      <c r="D288" s="9" t="s">
        <v>1774</v>
      </c>
      <c r="E288" s="9" t="s">
        <v>353</v>
      </c>
      <c r="F288" s="7" t="s">
        <v>2636</v>
      </c>
      <c r="G288" s="9" t="s">
        <v>1582</v>
      </c>
      <c r="H288" s="9" t="s">
        <v>1581</v>
      </c>
      <c r="I288" s="202">
        <v>4933772.68</v>
      </c>
      <c r="J288" s="202">
        <v>215498.07831325301</v>
      </c>
      <c r="K288" s="202">
        <f t="shared" si="8"/>
        <v>215498.07831325301</v>
      </c>
      <c r="L288" s="204">
        <v>826000.39</v>
      </c>
      <c r="M288" s="6">
        <f t="shared" si="9"/>
        <v>610502.31168674701</v>
      </c>
    </row>
    <row r="289" spans="2:13" ht="60">
      <c r="B289" s="9" t="s">
        <v>980</v>
      </c>
      <c r="C289" s="9">
        <v>1790174860</v>
      </c>
      <c r="D289" s="9" t="s">
        <v>1773</v>
      </c>
      <c r="E289" s="9" t="s">
        <v>980</v>
      </c>
      <c r="F289" s="7" t="s">
        <v>2634</v>
      </c>
      <c r="G289" s="9" t="s">
        <v>1582</v>
      </c>
      <c r="H289" s="9" t="s">
        <v>1581</v>
      </c>
      <c r="I289" s="202">
        <v>27753105.780000001</v>
      </c>
      <c r="J289" s="202">
        <v>848237.56626506022</v>
      </c>
      <c r="K289" s="202">
        <f t="shared" si="8"/>
        <v>848237.56626506022</v>
      </c>
      <c r="L289" s="204">
        <v>3954262.51</v>
      </c>
      <c r="M289" s="6">
        <f t="shared" si="9"/>
        <v>3106024.9437349397</v>
      </c>
    </row>
    <row r="290" spans="2:13" ht="60">
      <c r="B290" s="9" t="s">
        <v>1376</v>
      </c>
      <c r="C290" s="9">
        <v>1386902138</v>
      </c>
      <c r="D290" s="9" t="s">
        <v>1772</v>
      </c>
      <c r="E290" s="9" t="s">
        <v>1376</v>
      </c>
      <c r="F290" s="7" t="s">
        <v>2356</v>
      </c>
      <c r="G290" s="9" t="s">
        <v>1582</v>
      </c>
      <c r="H290" s="9" t="s">
        <v>1581</v>
      </c>
      <c r="I290" s="202">
        <v>6466119.3699999992</v>
      </c>
      <c r="J290" s="202">
        <v>772931.68136054417</v>
      </c>
      <c r="K290" s="202">
        <f t="shared" si="8"/>
        <v>772931.68136054417</v>
      </c>
      <c r="L290" s="204">
        <v>1300336.6100000001</v>
      </c>
      <c r="M290" s="6">
        <f t="shared" si="9"/>
        <v>527404.92863945593</v>
      </c>
    </row>
    <row r="291" spans="2:13" ht="30">
      <c r="B291" s="9" t="s">
        <v>356</v>
      </c>
      <c r="C291" s="9">
        <v>1477061885</v>
      </c>
      <c r="D291" s="9" t="s">
        <v>2004</v>
      </c>
      <c r="E291" s="9" t="s">
        <v>356</v>
      </c>
      <c r="F291" s="7" t="s">
        <v>2388</v>
      </c>
      <c r="G291" s="9" t="s">
        <v>1582</v>
      </c>
      <c r="H291" s="9" t="s">
        <v>1577</v>
      </c>
      <c r="I291" s="202">
        <v>5127941.43</v>
      </c>
      <c r="J291" s="202">
        <v>489169.54867924529</v>
      </c>
      <c r="K291" s="202">
        <f t="shared" si="8"/>
        <v>489169.54867924529</v>
      </c>
      <c r="L291" s="204">
        <v>39844.1</v>
      </c>
      <c r="M291" s="6">
        <f t="shared" si="9"/>
        <v>-449325.44867924531</v>
      </c>
    </row>
    <row r="292" spans="2:13" ht="30">
      <c r="B292" s="9" t="s">
        <v>986</v>
      </c>
      <c r="C292" s="9">
        <v>1295739258</v>
      </c>
      <c r="D292" s="9" t="s">
        <v>2175</v>
      </c>
      <c r="E292" s="9" t="s">
        <v>986</v>
      </c>
      <c r="F292" s="7" t="s">
        <v>2340</v>
      </c>
      <c r="G292" s="9" t="s">
        <v>1578</v>
      </c>
      <c r="H292" s="9" t="s">
        <v>1577</v>
      </c>
      <c r="I292" s="202">
        <v>88161.24</v>
      </c>
      <c r="J292" s="202">
        <v>36704.777999999991</v>
      </c>
      <c r="K292" s="202">
        <f t="shared" si="8"/>
        <v>36704.777999999991</v>
      </c>
      <c r="L292" s="204">
        <v>75018.16</v>
      </c>
      <c r="M292" s="6">
        <f t="shared" si="9"/>
        <v>38313.382000000012</v>
      </c>
    </row>
    <row r="293" spans="2:13" ht="45">
      <c r="B293" s="9" t="s">
        <v>2178</v>
      </c>
      <c r="C293" s="9">
        <v>1881697316</v>
      </c>
      <c r="D293" s="9" t="s">
        <v>2177</v>
      </c>
      <c r="E293" s="9" t="s">
        <v>2178</v>
      </c>
      <c r="F293" s="7" t="s">
        <v>2202</v>
      </c>
      <c r="G293" s="9" t="s">
        <v>1578</v>
      </c>
      <c r="H293" s="9" t="s">
        <v>1577</v>
      </c>
      <c r="I293" s="202">
        <v>196839.25</v>
      </c>
      <c r="J293" s="202">
        <v>57599.857999999993</v>
      </c>
      <c r="K293" s="202">
        <f t="shared" si="8"/>
        <v>57599.857999999993</v>
      </c>
      <c r="L293" s="204">
        <v>180993.71</v>
      </c>
      <c r="M293" s="6">
        <f t="shared" si="9"/>
        <v>123393.852</v>
      </c>
    </row>
    <row r="294" spans="2:13" ht="30">
      <c r="B294" s="9" t="s">
        <v>359</v>
      </c>
      <c r="C294" s="9">
        <v>1831170273</v>
      </c>
      <c r="D294" s="9" t="s">
        <v>1764</v>
      </c>
      <c r="E294" s="9" t="s">
        <v>359</v>
      </c>
      <c r="F294" s="7" t="s">
        <v>1763</v>
      </c>
      <c r="G294" s="9" t="s">
        <v>1578</v>
      </c>
      <c r="H294" s="9" t="s">
        <v>1577</v>
      </c>
      <c r="I294" s="202">
        <v>1343429.25</v>
      </c>
      <c r="J294" s="202">
        <v>197670.57574999999</v>
      </c>
      <c r="K294" s="202">
        <f t="shared" si="8"/>
        <v>197670.57574999999</v>
      </c>
      <c r="L294" s="204">
        <v>558597.88</v>
      </c>
      <c r="M294" s="6">
        <f t="shared" si="9"/>
        <v>360927.30425000004</v>
      </c>
    </row>
    <row r="295" spans="2:13" ht="45">
      <c r="B295" s="9" t="s">
        <v>989</v>
      </c>
      <c r="C295" s="9">
        <v>1942240189</v>
      </c>
      <c r="D295" s="9" t="s">
        <v>1762</v>
      </c>
      <c r="E295" s="9" t="s">
        <v>989</v>
      </c>
      <c r="F295" s="7" t="s">
        <v>1761</v>
      </c>
      <c r="G295" s="9" t="s">
        <v>1578</v>
      </c>
      <c r="H295" s="9" t="s">
        <v>1577</v>
      </c>
      <c r="I295" s="202">
        <v>1103204.8199999998</v>
      </c>
      <c r="J295" s="202">
        <v>379501.96246913576</v>
      </c>
      <c r="K295" s="202">
        <f t="shared" si="8"/>
        <v>379501.96246913576</v>
      </c>
      <c r="L295" s="204">
        <v>209939.88</v>
      </c>
      <c r="M295" s="6">
        <f t="shared" si="9"/>
        <v>-169562.08246913576</v>
      </c>
    </row>
    <row r="296" spans="2:13" ht="45">
      <c r="B296" s="9" t="s">
        <v>1503</v>
      </c>
      <c r="C296" s="9">
        <v>1174021695</v>
      </c>
      <c r="D296" s="9" t="s">
        <v>2750</v>
      </c>
      <c r="E296" s="9" t="s">
        <v>1503</v>
      </c>
      <c r="F296" s="7" t="s">
        <v>2408</v>
      </c>
      <c r="G296" s="9" t="s">
        <v>1582</v>
      </c>
      <c r="H296" s="9" t="s">
        <v>1581</v>
      </c>
      <c r="I296" s="202">
        <v>1337040.96</v>
      </c>
      <c r="J296" s="202">
        <v>131830.45116938019</v>
      </c>
      <c r="K296" s="202">
        <f t="shared" si="8"/>
        <v>131830.45116938019</v>
      </c>
      <c r="L296" s="204">
        <v>321283.34999999998</v>
      </c>
      <c r="M296" s="6">
        <f t="shared" si="9"/>
        <v>189452.89883061979</v>
      </c>
    </row>
    <row r="297" spans="2:13" ht="30">
      <c r="B297" s="9" t="s">
        <v>362</v>
      </c>
      <c r="C297" s="9">
        <v>1427472463</v>
      </c>
      <c r="D297" s="9" t="s">
        <v>1760</v>
      </c>
      <c r="E297" s="9" t="s">
        <v>362</v>
      </c>
      <c r="F297" s="7" t="s">
        <v>2703</v>
      </c>
      <c r="G297" s="9" t="s">
        <v>1582</v>
      </c>
      <c r="H297" s="9" t="s">
        <v>1581</v>
      </c>
      <c r="I297" s="202">
        <v>10147938.050000001</v>
      </c>
      <c r="J297" s="202">
        <v>512194.57668711653</v>
      </c>
      <c r="K297" s="202">
        <f t="shared" si="8"/>
        <v>512194.57668711653</v>
      </c>
      <c r="L297" s="204">
        <v>1669506.29</v>
      </c>
      <c r="M297" s="6">
        <f t="shared" si="9"/>
        <v>1157311.7133128834</v>
      </c>
    </row>
    <row r="298" spans="2:13" ht="60">
      <c r="B298" s="9" t="s">
        <v>365</v>
      </c>
      <c r="C298" s="9">
        <v>1629138029</v>
      </c>
      <c r="D298" s="9" t="s">
        <v>1757</v>
      </c>
      <c r="E298" s="9" t="s">
        <v>365</v>
      </c>
      <c r="F298" s="7" t="s">
        <v>2646</v>
      </c>
      <c r="G298" s="9" t="s">
        <v>1582</v>
      </c>
      <c r="H298" s="9" t="s">
        <v>1581</v>
      </c>
      <c r="I298" s="202">
        <v>6590332.290000001</v>
      </c>
      <c r="J298" s="202">
        <v>527235.15662650601</v>
      </c>
      <c r="K298" s="202">
        <f t="shared" si="8"/>
        <v>527235.15662650601</v>
      </c>
      <c r="L298" s="204">
        <v>1724452.7</v>
      </c>
      <c r="M298" s="6">
        <f t="shared" si="9"/>
        <v>1197217.5433734939</v>
      </c>
    </row>
    <row r="299" spans="2:13" ht="30">
      <c r="B299" s="9" t="s">
        <v>992</v>
      </c>
      <c r="C299" s="9">
        <v>1275581852</v>
      </c>
      <c r="D299" s="9" t="s">
        <v>1756</v>
      </c>
      <c r="E299" s="9" t="s">
        <v>992</v>
      </c>
      <c r="F299" s="7" t="s">
        <v>1755</v>
      </c>
      <c r="G299" s="9" t="s">
        <v>1578</v>
      </c>
      <c r="H299" s="9" t="s">
        <v>1581</v>
      </c>
      <c r="I299" s="202">
        <v>2005403.0700000003</v>
      </c>
      <c r="J299" s="202">
        <v>548659.27950000006</v>
      </c>
      <c r="K299" s="202">
        <f t="shared" si="8"/>
        <v>548659.27950000006</v>
      </c>
      <c r="L299" s="204">
        <v>917210.2</v>
      </c>
      <c r="M299" s="6">
        <f t="shared" si="9"/>
        <v>368550.92049999989</v>
      </c>
    </row>
    <row r="300" spans="2:13" ht="30">
      <c r="B300" s="9" t="s">
        <v>995</v>
      </c>
      <c r="C300" s="9">
        <v>1942294939</v>
      </c>
      <c r="D300" s="9" t="s">
        <v>1754</v>
      </c>
      <c r="E300" s="9" t="s">
        <v>995</v>
      </c>
      <c r="F300" s="7" t="s">
        <v>1753</v>
      </c>
      <c r="G300" s="9" t="s">
        <v>1582</v>
      </c>
      <c r="H300" s="9" t="s">
        <v>1581</v>
      </c>
      <c r="I300" s="202">
        <v>37014287.609999999</v>
      </c>
      <c r="J300" s="202">
        <v>1827742.0710059167</v>
      </c>
      <c r="K300" s="202">
        <f t="shared" si="8"/>
        <v>1827742.0710059167</v>
      </c>
      <c r="L300" s="204">
        <v>8048993.7300000004</v>
      </c>
      <c r="M300" s="6">
        <f t="shared" si="9"/>
        <v>6221251.6589940842</v>
      </c>
    </row>
    <row r="301" spans="2:13" ht="60">
      <c r="B301" s="9" t="s">
        <v>1569</v>
      </c>
      <c r="C301" s="9">
        <v>1891789772</v>
      </c>
      <c r="D301" s="9" t="s">
        <v>1751</v>
      </c>
      <c r="E301" s="9" t="s">
        <v>1569</v>
      </c>
      <c r="F301" s="7" t="s">
        <v>3704</v>
      </c>
      <c r="G301" s="9" t="s">
        <v>1582</v>
      </c>
      <c r="H301" s="9" t="s">
        <v>1581</v>
      </c>
      <c r="I301" s="202">
        <v>57109195.840000004</v>
      </c>
      <c r="J301" s="202">
        <v>5321929.6801470593</v>
      </c>
      <c r="K301" s="202">
        <f t="shared" si="8"/>
        <v>5321929.6801470593</v>
      </c>
      <c r="L301" s="204">
        <v>8457871.9000000004</v>
      </c>
      <c r="M301" s="6">
        <f t="shared" si="9"/>
        <v>3135942.2198529411</v>
      </c>
    </row>
    <row r="302" spans="2:13" ht="45">
      <c r="B302" s="9" t="s">
        <v>2751</v>
      </c>
      <c r="C302" s="9">
        <v>1184262800</v>
      </c>
      <c r="D302" s="9" t="s">
        <v>1631</v>
      </c>
      <c r="E302" s="9" t="s">
        <v>2751</v>
      </c>
      <c r="F302" s="7" t="s">
        <v>3705</v>
      </c>
      <c r="G302" s="9" t="s">
        <v>1582</v>
      </c>
      <c r="H302" s="9" t="s">
        <v>1581</v>
      </c>
      <c r="I302" s="202">
        <v>2267471.2799999998</v>
      </c>
      <c r="J302" s="202">
        <v>93009.243749999994</v>
      </c>
      <c r="K302" s="202">
        <f t="shared" si="8"/>
        <v>93009.243749999994</v>
      </c>
      <c r="L302" s="204">
        <v>629159.79</v>
      </c>
      <c r="M302" s="6">
        <f t="shared" si="9"/>
        <v>536150.54625000001</v>
      </c>
    </row>
    <row r="303" spans="2:13" ht="60">
      <c r="B303" s="9" t="s">
        <v>1007</v>
      </c>
      <c r="C303" s="9">
        <v>1962497800</v>
      </c>
      <c r="D303" s="9" t="s">
        <v>1743</v>
      </c>
      <c r="E303" s="9" t="s">
        <v>1007</v>
      </c>
      <c r="F303" s="7" t="s">
        <v>3706</v>
      </c>
      <c r="G303" s="9" t="s">
        <v>1582</v>
      </c>
      <c r="H303" s="9" t="s">
        <v>1577</v>
      </c>
      <c r="I303" s="202">
        <v>4618178.55</v>
      </c>
      <c r="J303" s="202">
        <v>748856.611392405</v>
      </c>
      <c r="K303" s="202">
        <f t="shared" si="8"/>
        <v>748856.611392405</v>
      </c>
      <c r="L303" s="204">
        <v>393006.99</v>
      </c>
      <c r="M303" s="6">
        <f t="shared" si="9"/>
        <v>-355849.62139240501</v>
      </c>
    </row>
    <row r="304" spans="2:13" ht="60">
      <c r="B304" s="9" t="s">
        <v>1013</v>
      </c>
      <c r="C304" s="9">
        <v>1154315307</v>
      </c>
      <c r="D304" s="9" t="s">
        <v>1747</v>
      </c>
      <c r="E304" s="9" t="s">
        <v>1013</v>
      </c>
      <c r="F304" s="7" t="s">
        <v>2430</v>
      </c>
      <c r="G304" s="9" t="s">
        <v>1582</v>
      </c>
      <c r="H304" s="9" t="s">
        <v>1581</v>
      </c>
      <c r="I304" s="202">
        <v>5508793.4000000004</v>
      </c>
      <c r="J304" s="202">
        <v>696068.83178807958</v>
      </c>
      <c r="K304" s="202">
        <f t="shared" si="8"/>
        <v>696068.83178807958</v>
      </c>
      <c r="L304" s="204">
        <v>1419065.18</v>
      </c>
      <c r="M304" s="6">
        <f t="shared" si="9"/>
        <v>722996.34821192035</v>
      </c>
    </row>
    <row r="305" spans="2:13" ht="60">
      <c r="B305" s="9" t="s">
        <v>374</v>
      </c>
      <c r="C305" s="9">
        <v>1396138970</v>
      </c>
      <c r="D305" s="9" t="s">
        <v>1746</v>
      </c>
      <c r="E305" s="9" t="s">
        <v>374</v>
      </c>
      <c r="F305" s="7" t="s">
        <v>2206</v>
      </c>
      <c r="G305" s="9" t="s">
        <v>1582</v>
      </c>
      <c r="H305" s="9" t="s">
        <v>1581</v>
      </c>
      <c r="I305" s="202">
        <v>10137236.310000001</v>
      </c>
      <c r="J305" s="202">
        <v>1858097.7792405062</v>
      </c>
      <c r="K305" s="202">
        <f t="shared" si="8"/>
        <v>1858097.7792405062</v>
      </c>
      <c r="L305" s="204">
        <v>3457316.6</v>
      </c>
      <c r="M305" s="6">
        <f t="shared" si="9"/>
        <v>1599218.8207594939</v>
      </c>
    </row>
    <row r="306" spans="2:13" ht="75">
      <c r="B306" s="9" t="s">
        <v>1001</v>
      </c>
      <c r="C306" s="9">
        <v>1265772362</v>
      </c>
      <c r="D306" s="9" t="s">
        <v>1745</v>
      </c>
      <c r="E306" s="9" t="s">
        <v>1001</v>
      </c>
      <c r="F306" s="7" t="s">
        <v>1003</v>
      </c>
      <c r="G306" s="9" t="s">
        <v>1582</v>
      </c>
      <c r="H306" s="9" t="s">
        <v>1581</v>
      </c>
      <c r="I306" s="202">
        <v>23815983.259999998</v>
      </c>
      <c r="J306" s="202">
        <v>3302645.4497041423</v>
      </c>
      <c r="K306" s="202">
        <f t="shared" si="8"/>
        <v>3302645.4497041423</v>
      </c>
      <c r="L306" s="204">
        <v>8411147.9600000009</v>
      </c>
      <c r="M306" s="6">
        <f t="shared" si="9"/>
        <v>5108502.5102958586</v>
      </c>
    </row>
    <row r="307" spans="2:13" ht="75">
      <c r="B307" s="9" t="s">
        <v>1004</v>
      </c>
      <c r="C307" s="9">
        <v>1265568638</v>
      </c>
      <c r="D307" s="9" t="s">
        <v>1744</v>
      </c>
      <c r="E307" s="9" t="s">
        <v>1004</v>
      </c>
      <c r="F307" s="7" t="s">
        <v>2227</v>
      </c>
      <c r="G307" s="9" t="s">
        <v>1582</v>
      </c>
      <c r="H307" s="9" t="s">
        <v>1581</v>
      </c>
      <c r="I307" s="202">
        <v>14664728.59</v>
      </c>
      <c r="J307" s="202">
        <v>1806755.2531645568</v>
      </c>
      <c r="K307" s="202">
        <f t="shared" si="8"/>
        <v>1806755.2531645568</v>
      </c>
      <c r="L307" s="204">
        <v>4910267.33</v>
      </c>
      <c r="M307" s="6">
        <f t="shared" si="9"/>
        <v>3103512.0768354433</v>
      </c>
    </row>
    <row r="308" spans="2:13" ht="60">
      <c r="B308" s="9" t="s">
        <v>1010</v>
      </c>
      <c r="C308" s="9">
        <v>1477516466</v>
      </c>
      <c r="D308" s="9" t="s">
        <v>1742</v>
      </c>
      <c r="E308" s="9" t="s">
        <v>1010</v>
      </c>
      <c r="F308" s="7" t="s">
        <v>3707</v>
      </c>
      <c r="G308" s="9" t="s">
        <v>1582</v>
      </c>
      <c r="H308" s="9" t="s">
        <v>1581</v>
      </c>
      <c r="I308" s="202">
        <v>167734388.63000003</v>
      </c>
      <c r="J308" s="202">
        <v>19229592.153846137</v>
      </c>
      <c r="K308" s="202">
        <f t="shared" si="8"/>
        <v>19229592.153846137</v>
      </c>
      <c r="L308" s="204">
        <v>60681588.469999999</v>
      </c>
      <c r="M308" s="6">
        <f t="shared" si="9"/>
        <v>41451996.316153862</v>
      </c>
    </row>
    <row r="309" spans="2:13" ht="45">
      <c r="B309" s="9" t="s">
        <v>1016</v>
      </c>
      <c r="C309" s="9">
        <v>1578588463</v>
      </c>
      <c r="D309" s="9" t="s">
        <v>1741</v>
      </c>
      <c r="E309" s="9" t="s">
        <v>1016</v>
      </c>
      <c r="F309" s="7" t="s">
        <v>2331</v>
      </c>
      <c r="G309" s="9" t="s">
        <v>1578</v>
      </c>
      <c r="H309" s="9" t="s">
        <v>1577</v>
      </c>
      <c r="I309" s="202">
        <v>1657201.6600000001</v>
      </c>
      <c r="J309" s="202">
        <v>466389.46950000001</v>
      </c>
      <c r="K309" s="202">
        <f t="shared" si="8"/>
        <v>466389.46950000001</v>
      </c>
      <c r="L309" s="204">
        <v>647634.41</v>
      </c>
      <c r="M309" s="6">
        <f t="shared" si="9"/>
        <v>181244.94050000003</v>
      </c>
    </row>
    <row r="310" spans="2:13" ht="60">
      <c r="B310" s="9" t="s">
        <v>844</v>
      </c>
      <c r="C310" s="9">
        <v>1821025990</v>
      </c>
      <c r="D310" s="9" t="s">
        <v>1738</v>
      </c>
      <c r="E310" s="9" t="s">
        <v>844</v>
      </c>
      <c r="F310" s="7" t="s">
        <v>3708</v>
      </c>
      <c r="G310" s="9" t="s">
        <v>1578</v>
      </c>
      <c r="H310" s="9" t="s">
        <v>1577</v>
      </c>
      <c r="I310" s="202">
        <v>1771377.46</v>
      </c>
      <c r="J310" s="202">
        <v>578580.44274999993</v>
      </c>
      <c r="K310" s="202">
        <f t="shared" si="8"/>
        <v>578580.44274999993</v>
      </c>
      <c r="L310" s="204">
        <v>878720.31</v>
      </c>
      <c r="M310" s="6">
        <f t="shared" si="9"/>
        <v>300139.86725000013</v>
      </c>
    </row>
    <row r="311" spans="2:13" ht="45">
      <c r="B311" s="9" t="s">
        <v>1019</v>
      </c>
      <c r="C311" s="9">
        <v>1356446686</v>
      </c>
      <c r="D311" s="9" t="s">
        <v>1736</v>
      </c>
      <c r="E311" s="9" t="s">
        <v>1019</v>
      </c>
      <c r="F311" s="7" t="s">
        <v>2207</v>
      </c>
      <c r="G311" s="9" t="s">
        <v>1582</v>
      </c>
      <c r="H311" s="9" t="s">
        <v>1577</v>
      </c>
      <c r="I311" s="202">
        <v>6360411.5999999996</v>
      </c>
      <c r="J311" s="202">
        <v>685065.36278481013</v>
      </c>
      <c r="K311" s="202">
        <f t="shared" si="8"/>
        <v>685065.36278481013</v>
      </c>
      <c r="L311" s="204">
        <v>380866.53</v>
      </c>
      <c r="M311" s="6">
        <f t="shared" si="9"/>
        <v>-304198.8327848101</v>
      </c>
    </row>
    <row r="312" spans="2:13" ht="45">
      <c r="B312" s="9" t="s">
        <v>386</v>
      </c>
      <c r="C312" s="9">
        <v>1124137054</v>
      </c>
      <c r="D312" s="9" t="s">
        <v>1732</v>
      </c>
      <c r="E312" s="9" t="s">
        <v>386</v>
      </c>
      <c r="F312" s="7" t="s">
        <v>2233</v>
      </c>
      <c r="G312" s="9" t="s">
        <v>1582</v>
      </c>
      <c r="H312" s="9" t="s">
        <v>1581</v>
      </c>
      <c r="I312" s="202">
        <v>13086967.579999998</v>
      </c>
      <c r="J312" s="202">
        <v>544520.00632911385</v>
      </c>
      <c r="K312" s="202">
        <f t="shared" si="8"/>
        <v>544520.00632911385</v>
      </c>
      <c r="L312" s="204">
        <v>2508248.2000000002</v>
      </c>
      <c r="M312" s="6">
        <f t="shared" si="9"/>
        <v>1963728.1936708863</v>
      </c>
    </row>
    <row r="313" spans="2:13" ht="60">
      <c r="B313" s="9" t="s">
        <v>1022</v>
      </c>
      <c r="C313" s="9">
        <v>1093810327</v>
      </c>
      <c r="D313" s="9" t="s">
        <v>1734</v>
      </c>
      <c r="E313" s="9" t="s">
        <v>1022</v>
      </c>
      <c r="F313" s="7" t="s">
        <v>1024</v>
      </c>
      <c r="G313" s="9" t="s">
        <v>1582</v>
      </c>
      <c r="H313" s="9" t="s">
        <v>1581</v>
      </c>
      <c r="I313" s="202">
        <v>29181641.960000001</v>
      </c>
      <c r="J313" s="202">
        <v>1638321.6090909089</v>
      </c>
      <c r="K313" s="202">
        <f t="shared" si="8"/>
        <v>1638321.6090909089</v>
      </c>
      <c r="L313" s="204">
        <v>5372258.5800000001</v>
      </c>
      <c r="M313" s="6">
        <f t="shared" si="9"/>
        <v>3733936.9709090912</v>
      </c>
    </row>
    <row r="314" spans="2:13" ht="45">
      <c r="B314" s="9" t="s">
        <v>1025</v>
      </c>
      <c r="C314" s="9">
        <v>1003833013</v>
      </c>
      <c r="D314" s="9" t="s">
        <v>1737</v>
      </c>
      <c r="E314" s="9" t="s">
        <v>1025</v>
      </c>
      <c r="F314" s="7" t="s">
        <v>2209</v>
      </c>
      <c r="G314" s="9" t="s">
        <v>1582</v>
      </c>
      <c r="H314" s="9" t="s">
        <v>1577</v>
      </c>
      <c r="I314" s="202">
        <v>5127131.5</v>
      </c>
      <c r="J314" s="202">
        <v>419990.73797468352</v>
      </c>
      <c r="K314" s="202">
        <f t="shared" si="8"/>
        <v>419990.73797468352</v>
      </c>
      <c r="L314" s="204">
        <v>0</v>
      </c>
      <c r="M314" s="6">
        <f t="shared" si="9"/>
        <v>-419990.73797468352</v>
      </c>
    </row>
    <row r="315" spans="2:13" ht="45">
      <c r="B315" s="9" t="s">
        <v>1028</v>
      </c>
      <c r="C315" s="9">
        <v>1164526786</v>
      </c>
      <c r="D315" s="9" t="s">
        <v>1735</v>
      </c>
      <c r="E315" s="9" t="s">
        <v>1028</v>
      </c>
      <c r="F315" s="7" t="s">
        <v>2231</v>
      </c>
      <c r="G315" s="9" t="s">
        <v>1582</v>
      </c>
      <c r="H315" s="9" t="s">
        <v>1581</v>
      </c>
      <c r="I315" s="202">
        <v>57906332.719999999</v>
      </c>
      <c r="J315" s="202">
        <v>4388490.5822784808</v>
      </c>
      <c r="K315" s="202">
        <f t="shared" si="8"/>
        <v>4388490.5822784808</v>
      </c>
      <c r="L315" s="204">
        <v>11560258.130000001</v>
      </c>
      <c r="M315" s="6">
        <f t="shared" si="9"/>
        <v>7171767.5477215201</v>
      </c>
    </row>
    <row r="316" spans="2:13" ht="45">
      <c r="B316" s="9" t="s">
        <v>1034</v>
      </c>
      <c r="C316" s="9">
        <v>1578780870</v>
      </c>
      <c r="D316" s="9" t="s">
        <v>1731</v>
      </c>
      <c r="E316" s="9" t="s">
        <v>1034</v>
      </c>
      <c r="F316" s="7" t="s">
        <v>2221</v>
      </c>
      <c r="G316" s="9" t="s">
        <v>1582</v>
      </c>
      <c r="H316" s="9" t="s">
        <v>1581</v>
      </c>
      <c r="I316" s="202">
        <v>22104624.719999999</v>
      </c>
      <c r="J316" s="202">
        <v>905260.98101265822</v>
      </c>
      <c r="K316" s="202">
        <f t="shared" si="8"/>
        <v>905260.98101265822</v>
      </c>
      <c r="L316" s="204">
        <v>3689253.02</v>
      </c>
      <c r="M316" s="6">
        <f t="shared" si="9"/>
        <v>2783992.0389873418</v>
      </c>
    </row>
    <row r="317" spans="2:13" ht="45">
      <c r="B317" s="9" t="s">
        <v>392</v>
      </c>
      <c r="C317" s="9">
        <v>1447355771</v>
      </c>
      <c r="D317" s="9" t="s">
        <v>1726</v>
      </c>
      <c r="E317" s="9" t="s">
        <v>392</v>
      </c>
      <c r="F317" s="7" t="s">
        <v>3709</v>
      </c>
      <c r="G317" s="9" t="s">
        <v>1582</v>
      </c>
      <c r="H317" s="9" t="s">
        <v>1581</v>
      </c>
      <c r="I317" s="202">
        <v>90061747.599999994</v>
      </c>
      <c r="J317" s="202">
        <v>10213656.778761063</v>
      </c>
      <c r="K317" s="202">
        <f t="shared" si="8"/>
        <v>10213656.778761063</v>
      </c>
      <c r="L317" s="204">
        <v>18782089.260000002</v>
      </c>
      <c r="M317" s="6">
        <f t="shared" si="9"/>
        <v>8568432.4812389389</v>
      </c>
    </row>
    <row r="318" spans="2:13" ht="30">
      <c r="B318" s="9" t="s">
        <v>3594</v>
      </c>
      <c r="C318" s="9">
        <v>1538150370</v>
      </c>
      <c r="D318" s="9" t="s">
        <v>1725</v>
      </c>
      <c r="E318" s="9" t="s">
        <v>1037</v>
      </c>
      <c r="F318" s="7" t="s">
        <v>1724</v>
      </c>
      <c r="G318" s="9" t="s">
        <v>1582</v>
      </c>
      <c r="H318" s="9" t="s">
        <v>3736</v>
      </c>
      <c r="I318" s="202">
        <v>35570.520000000004</v>
      </c>
      <c r="J318" s="202">
        <v>7878.1617499999993</v>
      </c>
      <c r="K318" s="202">
        <f t="shared" si="8"/>
        <v>7878.1617499999993</v>
      </c>
      <c r="L318" s="204">
        <v>32227.86</v>
      </c>
      <c r="M318" s="6">
        <f t="shared" si="9"/>
        <v>24349.698250000001</v>
      </c>
    </row>
    <row r="319" spans="2:13">
      <c r="B319" s="9" t="s">
        <v>1567</v>
      </c>
      <c r="C319" s="9">
        <v>1992707228</v>
      </c>
      <c r="D319" s="9" t="s">
        <v>1722</v>
      </c>
      <c r="E319" s="9" t="s">
        <v>1567</v>
      </c>
      <c r="F319" s="7" t="s">
        <v>1721</v>
      </c>
      <c r="G319" s="9" t="s">
        <v>1582</v>
      </c>
      <c r="H319" s="9" t="s">
        <v>1581</v>
      </c>
      <c r="I319" s="202">
        <v>40882081.560000002</v>
      </c>
      <c r="J319" s="202">
        <v>2701013.205714284</v>
      </c>
      <c r="K319" s="202">
        <f t="shared" si="8"/>
        <v>2701013.205714284</v>
      </c>
      <c r="L319" s="204">
        <v>12759514.33</v>
      </c>
      <c r="M319" s="6">
        <f t="shared" si="9"/>
        <v>10058501.124285717</v>
      </c>
    </row>
    <row r="320" spans="2:13" ht="60">
      <c r="B320" s="9" t="s">
        <v>1573</v>
      </c>
      <c r="C320" s="9">
        <v>1013957836</v>
      </c>
      <c r="D320" s="9" t="s">
        <v>1719</v>
      </c>
      <c r="E320" s="9" t="s">
        <v>1573</v>
      </c>
      <c r="F320" s="7" t="s">
        <v>2412</v>
      </c>
      <c r="G320" s="9" t="s">
        <v>1582</v>
      </c>
      <c r="H320" s="9" t="s">
        <v>1581</v>
      </c>
      <c r="I320" s="202">
        <v>5958736.6400000006</v>
      </c>
      <c r="J320" s="202">
        <v>302604.83152173914</v>
      </c>
      <c r="K320" s="202">
        <f t="shared" si="8"/>
        <v>302604.83152173914</v>
      </c>
      <c r="L320" s="204">
        <v>1574298.22</v>
      </c>
      <c r="M320" s="6">
        <f t="shared" si="9"/>
        <v>1271693.388478261</v>
      </c>
    </row>
    <row r="321" spans="2:13" ht="30">
      <c r="B321" s="9" t="s">
        <v>398</v>
      </c>
      <c r="C321" s="9">
        <v>1669513941</v>
      </c>
      <c r="D321" s="9" t="s">
        <v>1718</v>
      </c>
      <c r="E321" s="9" t="s">
        <v>398</v>
      </c>
      <c r="F321" s="7" t="s">
        <v>3710</v>
      </c>
      <c r="G321" s="9" t="s">
        <v>1582</v>
      </c>
      <c r="H321" s="9" t="s">
        <v>1581</v>
      </c>
      <c r="I321" s="202">
        <v>1465412.94</v>
      </c>
      <c r="J321" s="202">
        <v>147247.33333333331</v>
      </c>
      <c r="K321" s="202">
        <f t="shared" si="8"/>
        <v>147247.33333333331</v>
      </c>
      <c r="L321" s="204">
        <v>379635.73</v>
      </c>
      <c r="M321" s="6">
        <f t="shared" si="9"/>
        <v>232388.39666666667</v>
      </c>
    </row>
    <row r="322" spans="2:13" ht="45">
      <c r="B322" s="9" t="s">
        <v>1044</v>
      </c>
      <c r="C322" s="9">
        <v>1790782704</v>
      </c>
      <c r="D322" s="9" t="s">
        <v>1717</v>
      </c>
      <c r="E322" s="9" t="s">
        <v>1044</v>
      </c>
      <c r="F322" s="7" t="s">
        <v>2349</v>
      </c>
      <c r="G322" s="9" t="s">
        <v>1582</v>
      </c>
      <c r="H322" s="9" t="s">
        <v>1581</v>
      </c>
      <c r="I322" s="202">
        <v>14187965.279999999</v>
      </c>
      <c r="J322" s="202">
        <v>1455736.7839455782</v>
      </c>
      <c r="K322" s="202">
        <f t="shared" si="8"/>
        <v>1455736.7839455782</v>
      </c>
      <c r="L322" s="204">
        <v>3589430.36</v>
      </c>
      <c r="M322" s="6">
        <f t="shared" si="9"/>
        <v>2133693.5760544217</v>
      </c>
    </row>
    <row r="323" spans="2:13" ht="60">
      <c r="B323" s="9" t="s">
        <v>1565</v>
      </c>
      <c r="C323" s="9">
        <v>1215969787</v>
      </c>
      <c r="D323" s="9" t="s">
        <v>1715</v>
      </c>
      <c r="E323" s="9" t="s">
        <v>1565</v>
      </c>
      <c r="F323" s="7" t="s">
        <v>2603</v>
      </c>
      <c r="G323" s="9" t="s">
        <v>1582</v>
      </c>
      <c r="H323" s="9" t="s">
        <v>1581</v>
      </c>
      <c r="I323" s="202">
        <v>22487567.050000001</v>
      </c>
      <c r="J323" s="202">
        <v>636271.8113207547</v>
      </c>
      <c r="K323" s="202">
        <f t="shared" si="8"/>
        <v>636271.8113207547</v>
      </c>
      <c r="L323" s="204">
        <v>2856226.85</v>
      </c>
      <c r="M323" s="6">
        <f t="shared" si="9"/>
        <v>2219955.0386792454</v>
      </c>
    </row>
    <row r="324" spans="2:13" ht="30">
      <c r="B324" s="9" t="s">
        <v>1712</v>
      </c>
      <c r="C324" s="9">
        <v>1154361475</v>
      </c>
      <c r="D324" s="9" t="s">
        <v>1713</v>
      </c>
      <c r="E324" s="9" t="s">
        <v>1712</v>
      </c>
      <c r="F324" s="7" t="s">
        <v>3711</v>
      </c>
      <c r="G324" s="9" t="s">
        <v>1582</v>
      </c>
      <c r="H324" s="9" t="s">
        <v>1581</v>
      </c>
      <c r="I324" s="202">
        <v>27279531.550000001</v>
      </c>
      <c r="J324" s="202">
        <v>1277154.625</v>
      </c>
      <c r="K324" s="202">
        <f t="shared" si="8"/>
        <v>1277154.625</v>
      </c>
      <c r="L324" s="204">
        <v>5593155.0899999999</v>
      </c>
      <c r="M324" s="6">
        <f t="shared" si="9"/>
        <v>4316000.4649999999</v>
      </c>
    </row>
    <row r="325" spans="2:13" ht="45">
      <c r="B325" s="9" t="s">
        <v>1050</v>
      </c>
      <c r="C325" s="9">
        <v>1700826575</v>
      </c>
      <c r="D325" s="9" t="s">
        <v>1710</v>
      </c>
      <c r="E325" s="9" t="s">
        <v>1050</v>
      </c>
      <c r="F325" s="7" t="s">
        <v>2418</v>
      </c>
      <c r="G325" s="9" t="s">
        <v>1578</v>
      </c>
      <c r="H325" s="9" t="s">
        <v>1581</v>
      </c>
      <c r="I325" s="202">
        <v>870480.57000000007</v>
      </c>
      <c r="J325" s="202">
        <v>125965.72132450331</v>
      </c>
      <c r="K325" s="202">
        <f t="shared" si="8"/>
        <v>125965.72132450331</v>
      </c>
      <c r="L325" s="204">
        <v>222300.98</v>
      </c>
      <c r="M325" s="6">
        <f t="shared" si="9"/>
        <v>96335.258675496705</v>
      </c>
    </row>
    <row r="326" spans="2:13" ht="30">
      <c r="B326" s="9" t="s">
        <v>1556</v>
      </c>
      <c r="C326" s="9">
        <v>1770573586</v>
      </c>
      <c r="D326" s="9" t="s">
        <v>1708</v>
      </c>
      <c r="E326" s="9" t="s">
        <v>1556</v>
      </c>
      <c r="F326" s="7" t="s">
        <v>1707</v>
      </c>
      <c r="G326" s="9" t="s">
        <v>1582</v>
      </c>
      <c r="H326" s="9" t="s">
        <v>1581</v>
      </c>
      <c r="I326" s="202">
        <v>303595787.86000001</v>
      </c>
      <c r="J326" s="202">
        <v>12188016.082840236</v>
      </c>
      <c r="K326" s="202">
        <f t="shared" si="8"/>
        <v>12188016.082840236</v>
      </c>
      <c r="L326" s="204">
        <v>23285796.93</v>
      </c>
      <c r="M326" s="6">
        <f t="shared" si="9"/>
        <v>11097780.847159764</v>
      </c>
    </row>
    <row r="327" spans="2:13" ht="45">
      <c r="B327" s="9" t="s">
        <v>1511</v>
      </c>
      <c r="C327" s="9">
        <v>1093712697</v>
      </c>
      <c r="D327" s="9" t="s">
        <v>1706</v>
      </c>
      <c r="E327" s="9" t="s">
        <v>1511</v>
      </c>
      <c r="F327" s="7" t="s">
        <v>2492</v>
      </c>
      <c r="G327" s="9" t="s">
        <v>1582</v>
      </c>
      <c r="H327" s="9" t="s">
        <v>1581</v>
      </c>
      <c r="I327" s="202">
        <v>57395</v>
      </c>
      <c r="J327" s="202">
        <v>22389.508875739644</v>
      </c>
      <c r="K327" s="202">
        <f t="shared" ref="K327:K390" si="10">J327</f>
        <v>22389.508875739644</v>
      </c>
      <c r="L327" s="204">
        <v>15674.81</v>
      </c>
      <c r="M327" s="6">
        <f t="shared" si="9"/>
        <v>-6714.6988757396448</v>
      </c>
    </row>
    <row r="328" spans="2:13" ht="75">
      <c r="B328" s="9" t="s">
        <v>404</v>
      </c>
      <c r="C328" s="9">
        <v>1629064928</v>
      </c>
      <c r="D328" s="9" t="s">
        <v>1705</v>
      </c>
      <c r="E328" s="9" t="s">
        <v>404</v>
      </c>
      <c r="F328" s="7" t="s">
        <v>2264</v>
      </c>
      <c r="G328" s="9" t="s">
        <v>1582</v>
      </c>
      <c r="H328" s="9" t="s">
        <v>1581</v>
      </c>
      <c r="I328" s="202">
        <v>972305.58</v>
      </c>
      <c r="J328" s="202">
        <v>30160.799999999996</v>
      </c>
      <c r="K328" s="202">
        <f t="shared" si="10"/>
        <v>30160.799999999996</v>
      </c>
      <c r="L328" s="204">
        <v>347649.81</v>
      </c>
      <c r="M328" s="6">
        <f t="shared" ref="M328:M391" si="11">L328-K328</f>
        <v>317489.01</v>
      </c>
    </row>
    <row r="329" spans="2:13" ht="45">
      <c r="B329" s="9" t="s">
        <v>1225</v>
      </c>
      <c r="C329" s="9">
        <v>1912906298</v>
      </c>
      <c r="D329" s="9" t="s">
        <v>1704</v>
      </c>
      <c r="E329" s="9" t="s">
        <v>1225</v>
      </c>
      <c r="F329" s="7" t="s">
        <v>3712</v>
      </c>
      <c r="G329" s="9" t="s">
        <v>1582</v>
      </c>
      <c r="H329" s="9" t="s">
        <v>1581</v>
      </c>
      <c r="I329" s="202">
        <v>28678506.57</v>
      </c>
      <c r="J329" s="202">
        <v>1526440.8220858895</v>
      </c>
      <c r="K329" s="202">
        <f t="shared" si="10"/>
        <v>1526440.8220858895</v>
      </c>
      <c r="L329" s="204">
        <v>5115938.72</v>
      </c>
      <c r="M329" s="6">
        <f t="shared" si="11"/>
        <v>3589497.8979141102</v>
      </c>
    </row>
    <row r="330" spans="2:13" ht="45">
      <c r="B330" s="9" t="s">
        <v>1056</v>
      </c>
      <c r="C330" s="9">
        <v>1720033947</v>
      </c>
      <c r="D330" s="9" t="s">
        <v>1703</v>
      </c>
      <c r="E330" s="9" t="s">
        <v>1056</v>
      </c>
      <c r="F330" s="7" t="s">
        <v>2215</v>
      </c>
      <c r="G330" s="9" t="s">
        <v>1582</v>
      </c>
      <c r="H330" s="9" t="s">
        <v>1581</v>
      </c>
      <c r="I330" s="202">
        <v>52518936.150000006</v>
      </c>
      <c r="J330" s="202">
        <v>1870939.9999999998</v>
      </c>
      <c r="K330" s="202">
        <f t="shared" si="10"/>
        <v>1870939.9999999998</v>
      </c>
      <c r="L330" s="204">
        <v>8334755.1699999999</v>
      </c>
      <c r="M330" s="6">
        <f t="shared" si="11"/>
        <v>6463815.1699999999</v>
      </c>
    </row>
    <row r="331" spans="2:13" ht="60">
      <c r="B331" s="9" t="s">
        <v>1059</v>
      </c>
      <c r="C331" s="9">
        <v>1649223645</v>
      </c>
      <c r="D331" s="9" t="s">
        <v>1702</v>
      </c>
      <c r="E331" s="9" t="s">
        <v>1059</v>
      </c>
      <c r="F331" s="7" t="s">
        <v>2217</v>
      </c>
      <c r="G331" s="9" t="s">
        <v>1582</v>
      </c>
      <c r="H331" s="9" t="s">
        <v>1581</v>
      </c>
      <c r="I331" s="202">
        <v>14708646.140000002</v>
      </c>
      <c r="J331" s="202">
        <v>522890.2974683544</v>
      </c>
      <c r="K331" s="202">
        <f t="shared" si="10"/>
        <v>522890.2974683544</v>
      </c>
      <c r="L331" s="204">
        <v>2580602.54</v>
      </c>
      <c r="M331" s="6">
        <f t="shared" si="11"/>
        <v>2057712.2425316456</v>
      </c>
    </row>
    <row r="332" spans="2:13" ht="45">
      <c r="B332" s="9" t="s">
        <v>1062</v>
      </c>
      <c r="C332" s="9">
        <v>1679528889</v>
      </c>
      <c r="D332" s="9" t="s">
        <v>1701</v>
      </c>
      <c r="E332" s="9" t="s">
        <v>1062</v>
      </c>
      <c r="F332" s="7" t="s">
        <v>2216</v>
      </c>
      <c r="G332" s="9" t="s">
        <v>1582</v>
      </c>
      <c r="H332" s="9" t="s">
        <v>1581</v>
      </c>
      <c r="I332" s="202">
        <v>43472073.590000004</v>
      </c>
      <c r="J332" s="202">
        <v>1523355.5063291141</v>
      </c>
      <c r="K332" s="202">
        <f t="shared" si="10"/>
        <v>1523355.5063291141</v>
      </c>
      <c r="L332" s="204">
        <v>6668616.0800000001</v>
      </c>
      <c r="M332" s="6">
        <f t="shared" si="11"/>
        <v>5145260.5736708865</v>
      </c>
    </row>
    <row r="333" spans="2:13" ht="60">
      <c r="B333" s="9" t="s">
        <v>1065</v>
      </c>
      <c r="C333" s="9">
        <v>1629021845</v>
      </c>
      <c r="D333" s="9" t="s">
        <v>1700</v>
      </c>
      <c r="E333" s="9" t="s">
        <v>1065</v>
      </c>
      <c r="F333" s="7" t="s">
        <v>2218</v>
      </c>
      <c r="G333" s="9" t="s">
        <v>1582</v>
      </c>
      <c r="H333" s="9" t="s">
        <v>1581</v>
      </c>
      <c r="I333" s="202">
        <v>58639840.799999997</v>
      </c>
      <c r="J333" s="202">
        <v>2014343.0886075948</v>
      </c>
      <c r="K333" s="202">
        <f t="shared" si="10"/>
        <v>2014343.0886075948</v>
      </c>
      <c r="L333" s="204">
        <v>9343484.5899999999</v>
      </c>
      <c r="M333" s="6">
        <f t="shared" si="11"/>
        <v>7329141.5013924055</v>
      </c>
    </row>
    <row r="334" spans="2:13" ht="60">
      <c r="B334" s="9" t="s">
        <v>2755</v>
      </c>
      <c r="C334" s="9">
        <v>1053963009</v>
      </c>
      <c r="D334" s="9" t="s">
        <v>2062</v>
      </c>
      <c r="E334" s="9" t="s">
        <v>2755</v>
      </c>
      <c r="F334" s="7" t="s">
        <v>3714</v>
      </c>
      <c r="G334" s="9" t="s">
        <v>1582</v>
      </c>
      <c r="H334" s="9" t="s">
        <v>1581</v>
      </c>
      <c r="I334" s="202">
        <v>8765074.6300000008</v>
      </c>
      <c r="J334" s="202">
        <v>407393.41420118342</v>
      </c>
      <c r="K334" s="202">
        <f t="shared" si="10"/>
        <v>407393.41420118342</v>
      </c>
      <c r="L334" s="204">
        <v>2132157</v>
      </c>
      <c r="M334" s="6">
        <f t="shared" si="11"/>
        <v>1724763.5857988165</v>
      </c>
    </row>
    <row r="335" spans="2:13" ht="75">
      <c r="B335" s="9" t="s">
        <v>410</v>
      </c>
      <c r="C335" s="9">
        <v>1659559573</v>
      </c>
      <c r="D335" s="9" t="s">
        <v>1688</v>
      </c>
      <c r="E335" s="9" t="s">
        <v>410</v>
      </c>
      <c r="F335" s="7" t="s">
        <v>3715</v>
      </c>
      <c r="G335" s="9" t="s">
        <v>1582</v>
      </c>
      <c r="H335" s="9" t="s">
        <v>1581</v>
      </c>
      <c r="I335" s="202">
        <v>10192041.710000001</v>
      </c>
      <c r="J335" s="202">
        <v>776616.52573529421</v>
      </c>
      <c r="K335" s="202">
        <f t="shared" si="10"/>
        <v>776616.52573529421</v>
      </c>
      <c r="L335" s="204">
        <v>2046325.52</v>
      </c>
      <c r="M335" s="6">
        <f t="shared" si="11"/>
        <v>1269708.9942647058</v>
      </c>
    </row>
    <row r="336" spans="2:13" ht="60">
      <c r="B336" s="9" t="s">
        <v>1316</v>
      </c>
      <c r="C336" s="9">
        <v>1942208616</v>
      </c>
      <c r="D336" s="9" t="s">
        <v>1697</v>
      </c>
      <c r="E336" s="9" t="s">
        <v>1316</v>
      </c>
      <c r="F336" s="7" t="s">
        <v>2508</v>
      </c>
      <c r="G336" s="9" t="s">
        <v>1582</v>
      </c>
      <c r="H336" s="9" t="s">
        <v>1581</v>
      </c>
      <c r="I336" s="202">
        <v>25862985.420000002</v>
      </c>
      <c r="J336" s="202">
        <v>1681479.0624999995</v>
      </c>
      <c r="K336" s="202">
        <f t="shared" si="10"/>
        <v>1681479.0624999995</v>
      </c>
      <c r="L336" s="204">
        <v>5661583.3799999999</v>
      </c>
      <c r="M336" s="6">
        <f t="shared" si="11"/>
        <v>3980104.3175000004</v>
      </c>
    </row>
    <row r="337" spans="2:13" ht="30">
      <c r="B337" s="9" t="s">
        <v>1694</v>
      </c>
      <c r="C337" s="9">
        <v>1710314141</v>
      </c>
      <c r="D337" s="9" t="s">
        <v>1695</v>
      </c>
      <c r="E337" s="9" t="s">
        <v>1694</v>
      </c>
      <c r="F337" s="7" t="s">
        <v>3716</v>
      </c>
      <c r="G337" s="9" t="s">
        <v>1582</v>
      </c>
      <c r="H337" s="9" t="s">
        <v>1581</v>
      </c>
      <c r="I337" s="202">
        <v>12537522.199999999</v>
      </c>
      <c r="J337" s="202">
        <v>796854.16911764699</v>
      </c>
      <c r="K337" s="202">
        <f t="shared" si="10"/>
        <v>796854.16911764699</v>
      </c>
      <c r="L337" s="204">
        <v>2586084.61</v>
      </c>
      <c r="M337" s="6">
        <f t="shared" si="11"/>
        <v>1789230.4408823529</v>
      </c>
    </row>
    <row r="338" spans="2:13" ht="45">
      <c r="B338" s="9" t="s">
        <v>416</v>
      </c>
      <c r="C338" s="9">
        <v>1184868879</v>
      </c>
      <c r="D338" s="9" t="s">
        <v>1692</v>
      </c>
      <c r="E338" s="9" t="s">
        <v>416</v>
      </c>
      <c r="F338" s="7" t="s">
        <v>2547</v>
      </c>
      <c r="G338" s="9" t="s">
        <v>1582</v>
      </c>
      <c r="H338" s="9" t="s">
        <v>1581</v>
      </c>
      <c r="I338" s="202">
        <v>3687120.9299999997</v>
      </c>
      <c r="J338" s="202">
        <v>181981.49264705883</v>
      </c>
      <c r="K338" s="202">
        <f t="shared" si="10"/>
        <v>181981.49264705883</v>
      </c>
      <c r="L338" s="204">
        <v>959930.14</v>
      </c>
      <c r="M338" s="6">
        <f t="shared" si="11"/>
        <v>777948.64735294122</v>
      </c>
    </row>
    <row r="339" spans="2:13" ht="30">
      <c r="B339" s="9" t="s">
        <v>419</v>
      </c>
      <c r="C339" s="9">
        <v>1407990088</v>
      </c>
      <c r="D339" s="9" t="s">
        <v>1691</v>
      </c>
      <c r="E339" s="9" t="s">
        <v>419</v>
      </c>
      <c r="F339" s="7" t="s">
        <v>2534</v>
      </c>
      <c r="G339" s="9" t="s">
        <v>1582</v>
      </c>
      <c r="H339" s="9" t="s">
        <v>1581</v>
      </c>
      <c r="I339" s="202">
        <v>4500626.28</v>
      </c>
      <c r="J339" s="202">
        <v>136061.16911764705</v>
      </c>
      <c r="K339" s="202">
        <f t="shared" si="10"/>
        <v>136061.16911764705</v>
      </c>
      <c r="L339" s="204">
        <v>1109244.1499999999</v>
      </c>
      <c r="M339" s="6">
        <f t="shared" si="11"/>
        <v>973182.98088235292</v>
      </c>
    </row>
    <row r="340" spans="2:13">
      <c r="B340" s="9" t="s">
        <v>422</v>
      </c>
      <c r="C340" s="9">
        <v>1659362630</v>
      </c>
      <c r="D340" s="9" t="s">
        <v>1690</v>
      </c>
      <c r="E340" s="9" t="s">
        <v>422</v>
      </c>
      <c r="F340" s="7" t="s">
        <v>1689</v>
      </c>
      <c r="G340" s="9" t="s">
        <v>1582</v>
      </c>
      <c r="H340" s="9" t="s">
        <v>1581</v>
      </c>
      <c r="I340" s="202">
        <v>1203816.03</v>
      </c>
      <c r="J340" s="202">
        <v>195489.5946835443</v>
      </c>
      <c r="K340" s="202">
        <f t="shared" si="10"/>
        <v>195489.5946835443</v>
      </c>
      <c r="L340" s="204">
        <v>514450.78</v>
      </c>
      <c r="M340" s="6">
        <f t="shared" si="11"/>
        <v>318961.18531645573</v>
      </c>
    </row>
    <row r="341" spans="2:13" ht="45">
      <c r="B341" s="9" t="s">
        <v>1053</v>
      </c>
      <c r="C341" s="9">
        <v>1760567085</v>
      </c>
      <c r="D341" s="9" t="s">
        <v>1685</v>
      </c>
      <c r="E341" s="9" t="s">
        <v>1053</v>
      </c>
      <c r="F341" s="7" t="s">
        <v>3717</v>
      </c>
      <c r="G341" s="9" t="s">
        <v>1578</v>
      </c>
      <c r="H341" s="9" t="s">
        <v>1581</v>
      </c>
      <c r="I341" s="202">
        <v>2558665.6599999997</v>
      </c>
      <c r="J341" s="202">
        <v>1333079.9997560973</v>
      </c>
      <c r="K341" s="202">
        <f t="shared" si="10"/>
        <v>1333079.9997560973</v>
      </c>
      <c r="L341" s="204">
        <v>1307368.6399999999</v>
      </c>
      <c r="M341" s="6">
        <f t="shared" si="11"/>
        <v>-25711.35975609743</v>
      </c>
    </row>
    <row r="342" spans="2:13" ht="60">
      <c r="B342" s="9" t="s">
        <v>1681</v>
      </c>
      <c r="C342" s="9">
        <v>1285065623</v>
      </c>
      <c r="D342" s="9" t="s">
        <v>1682</v>
      </c>
      <c r="E342" s="9" t="s">
        <v>1681</v>
      </c>
      <c r="F342" s="7" t="s">
        <v>3718</v>
      </c>
      <c r="G342" s="9" t="s">
        <v>1578</v>
      </c>
      <c r="H342" s="9" t="s">
        <v>1581</v>
      </c>
      <c r="I342" s="202">
        <v>980892.31</v>
      </c>
      <c r="J342" s="202">
        <v>160314.89999999997</v>
      </c>
      <c r="K342" s="202">
        <f t="shared" si="10"/>
        <v>160314.89999999997</v>
      </c>
      <c r="L342" s="204">
        <v>282890.42</v>
      </c>
      <c r="M342" s="6">
        <f t="shared" si="11"/>
        <v>122575.52000000002</v>
      </c>
    </row>
    <row r="343" spans="2:13" ht="75">
      <c r="B343" s="9" t="s">
        <v>2765</v>
      </c>
      <c r="C343" s="9">
        <v>1285191452</v>
      </c>
      <c r="D343" s="9" t="s">
        <v>1749</v>
      </c>
      <c r="E343" s="9" t="s">
        <v>2765</v>
      </c>
      <c r="F343" s="7" t="s">
        <v>2766</v>
      </c>
      <c r="G343" s="9" t="s">
        <v>1582</v>
      </c>
      <c r="H343" s="9" t="s">
        <v>1581</v>
      </c>
      <c r="I343" s="202">
        <v>6853205.6699999999</v>
      </c>
      <c r="J343" s="202">
        <v>456509.05142857134</v>
      </c>
      <c r="K343" s="202">
        <f t="shared" si="10"/>
        <v>456509.05142857134</v>
      </c>
      <c r="L343" s="204">
        <v>1187413.82</v>
      </c>
      <c r="M343" s="6">
        <f t="shared" si="11"/>
        <v>730904.76857142872</v>
      </c>
    </row>
    <row r="344" spans="2:13" ht="30">
      <c r="B344" s="9" t="s">
        <v>1069</v>
      </c>
      <c r="C344" s="9">
        <v>1083612121</v>
      </c>
      <c r="D344" s="9" t="s">
        <v>1679</v>
      </c>
      <c r="E344" s="9" t="s">
        <v>1069</v>
      </c>
      <c r="F344" s="7" t="s">
        <v>2857</v>
      </c>
      <c r="G344" s="9" t="s">
        <v>1578</v>
      </c>
      <c r="H344" s="9" t="s">
        <v>1577</v>
      </c>
      <c r="I344" s="202">
        <v>253069.5</v>
      </c>
      <c r="J344" s="202">
        <v>76691.703499999989</v>
      </c>
      <c r="K344" s="202">
        <f t="shared" si="10"/>
        <v>76691.703499999989</v>
      </c>
      <c r="L344" s="204">
        <v>160480.99</v>
      </c>
      <c r="M344" s="6">
        <f t="shared" si="11"/>
        <v>83789.286500000002</v>
      </c>
    </row>
    <row r="345" spans="2:13" ht="60">
      <c r="B345" s="9" t="s">
        <v>801</v>
      </c>
      <c r="C345" s="9">
        <v>1831140979</v>
      </c>
      <c r="D345" s="9" t="s">
        <v>1894</v>
      </c>
      <c r="E345" s="9" t="s">
        <v>801</v>
      </c>
      <c r="F345" s="7" t="s">
        <v>3719</v>
      </c>
      <c r="G345" s="9" t="s">
        <v>1578</v>
      </c>
      <c r="H345" s="9" t="s">
        <v>1577</v>
      </c>
      <c r="I345" s="202">
        <v>330821.59000000003</v>
      </c>
      <c r="J345" s="202">
        <v>67453.876749999981</v>
      </c>
      <c r="K345" s="202">
        <f t="shared" si="10"/>
        <v>67453.876749999981</v>
      </c>
      <c r="L345" s="204">
        <v>106723.04</v>
      </c>
      <c r="M345" s="6">
        <f t="shared" si="11"/>
        <v>39269.163250000012</v>
      </c>
    </row>
    <row r="346" spans="2:13" ht="45">
      <c r="B346" s="9" t="s">
        <v>1072</v>
      </c>
      <c r="C346" s="9">
        <v>1023011657</v>
      </c>
      <c r="D346" s="9" t="s">
        <v>1678</v>
      </c>
      <c r="E346" s="9" t="s">
        <v>1072</v>
      </c>
      <c r="F346" s="7" t="s">
        <v>3720</v>
      </c>
      <c r="G346" s="9" t="s">
        <v>1578</v>
      </c>
      <c r="H346" s="9" t="s">
        <v>1577</v>
      </c>
      <c r="I346" s="202">
        <v>1175376.3900000001</v>
      </c>
      <c r="J346" s="202">
        <v>355312.24434108526</v>
      </c>
      <c r="K346" s="202">
        <f t="shared" si="10"/>
        <v>355312.24434108526</v>
      </c>
      <c r="L346" s="204">
        <v>469475.77</v>
      </c>
      <c r="M346" s="6">
        <f t="shared" si="11"/>
        <v>114163.52565891476</v>
      </c>
    </row>
    <row r="347" spans="2:13" ht="60">
      <c r="B347" s="9" t="s">
        <v>1075</v>
      </c>
      <c r="C347" s="9">
        <v>1518253194</v>
      </c>
      <c r="D347" s="9" t="s">
        <v>1676</v>
      </c>
      <c r="E347" s="9" t="s">
        <v>1075</v>
      </c>
      <c r="F347" s="7" t="s">
        <v>2446</v>
      </c>
      <c r="G347" s="9" t="s">
        <v>1578</v>
      </c>
      <c r="H347" s="9" t="s">
        <v>1577</v>
      </c>
      <c r="I347" s="202">
        <v>654705.61</v>
      </c>
      <c r="J347" s="202">
        <v>238281.67217877094</v>
      </c>
      <c r="K347" s="202">
        <f t="shared" si="10"/>
        <v>238281.67217877094</v>
      </c>
      <c r="L347" s="204">
        <v>175068.28</v>
      </c>
      <c r="M347" s="6">
        <f t="shared" si="11"/>
        <v>-63213.392178770941</v>
      </c>
    </row>
    <row r="348" spans="2:13" ht="45">
      <c r="B348" s="9" t="s">
        <v>917</v>
      </c>
      <c r="C348" s="9">
        <v>1992753222</v>
      </c>
      <c r="D348" s="9" t="s">
        <v>1675</v>
      </c>
      <c r="E348" s="9" t="s">
        <v>917</v>
      </c>
      <c r="F348" s="7" t="s">
        <v>2247</v>
      </c>
      <c r="G348" s="9" t="s">
        <v>1578</v>
      </c>
      <c r="H348" s="9" t="s">
        <v>1581</v>
      </c>
      <c r="I348" s="202">
        <v>122273618.12</v>
      </c>
      <c r="J348" s="202">
        <v>15662304.765258217</v>
      </c>
      <c r="K348" s="202">
        <f t="shared" si="10"/>
        <v>15662304.765258217</v>
      </c>
      <c r="L348" s="204">
        <v>38422356.93</v>
      </c>
      <c r="M348" s="6">
        <f t="shared" si="11"/>
        <v>22760052.164741784</v>
      </c>
    </row>
    <row r="349" spans="2:13" ht="45">
      <c r="B349" s="9" t="s">
        <v>1080</v>
      </c>
      <c r="C349" s="9">
        <v>1972709970</v>
      </c>
      <c r="D349" s="9" t="s">
        <v>1671</v>
      </c>
      <c r="E349" s="9" t="s">
        <v>1080</v>
      </c>
      <c r="F349" s="7" t="s">
        <v>2596</v>
      </c>
      <c r="G349" s="9" t="s">
        <v>1582</v>
      </c>
      <c r="H349" s="9" t="s">
        <v>1581</v>
      </c>
      <c r="I349" s="202">
        <v>62482496.739999995</v>
      </c>
      <c r="J349" s="202">
        <v>2432988.836477987</v>
      </c>
      <c r="K349" s="202">
        <f t="shared" si="10"/>
        <v>2432988.836477987</v>
      </c>
      <c r="L349" s="204">
        <v>6498179.6600000001</v>
      </c>
      <c r="M349" s="6">
        <f t="shared" si="11"/>
        <v>4065190.8235220131</v>
      </c>
    </row>
    <row r="350" spans="2:13" ht="60">
      <c r="B350" s="9" t="s">
        <v>1564</v>
      </c>
      <c r="C350" s="9">
        <v>1700801909</v>
      </c>
      <c r="D350" s="9" t="s">
        <v>1672</v>
      </c>
      <c r="E350" s="9" t="s">
        <v>1564</v>
      </c>
      <c r="F350" s="7" t="s">
        <v>2599</v>
      </c>
      <c r="G350" s="9" t="s">
        <v>1582</v>
      </c>
      <c r="H350" s="9" t="s">
        <v>1581</v>
      </c>
      <c r="I350" s="202">
        <v>83401141.170000002</v>
      </c>
      <c r="J350" s="202">
        <v>3997136.9811320766</v>
      </c>
      <c r="K350" s="202">
        <f t="shared" si="10"/>
        <v>3997136.9811320766</v>
      </c>
      <c r="L350" s="204">
        <v>10040096.25</v>
      </c>
      <c r="M350" s="6">
        <f t="shared" si="11"/>
        <v>6042959.2688679229</v>
      </c>
    </row>
    <row r="351" spans="2:13" ht="60">
      <c r="B351" s="9" t="s">
        <v>1083</v>
      </c>
      <c r="C351" s="9">
        <v>1538522412</v>
      </c>
      <c r="D351" s="9" t="s">
        <v>1670</v>
      </c>
      <c r="E351" s="9" t="s">
        <v>1083</v>
      </c>
      <c r="F351" s="7" t="s">
        <v>2601</v>
      </c>
      <c r="G351" s="9" t="s">
        <v>1582</v>
      </c>
      <c r="H351" s="9" t="s">
        <v>1581</v>
      </c>
      <c r="I351" s="202">
        <v>18897202.439999998</v>
      </c>
      <c r="J351" s="202">
        <v>629001.17610062892</v>
      </c>
      <c r="K351" s="202">
        <f t="shared" si="10"/>
        <v>629001.17610062892</v>
      </c>
      <c r="L351" s="204">
        <v>2077331.67</v>
      </c>
      <c r="M351" s="6">
        <f t="shared" si="11"/>
        <v>1448330.493899371</v>
      </c>
    </row>
    <row r="352" spans="2:13" ht="45">
      <c r="B352" s="9" t="s">
        <v>1086</v>
      </c>
      <c r="C352" s="9">
        <v>1811916901</v>
      </c>
      <c r="D352" s="9" t="s">
        <v>1669</v>
      </c>
      <c r="E352" s="9" t="s">
        <v>1086</v>
      </c>
      <c r="F352" s="7" t="s">
        <v>2444</v>
      </c>
      <c r="G352" s="9" t="s">
        <v>1578</v>
      </c>
      <c r="H352" s="9" t="s">
        <v>1581</v>
      </c>
      <c r="I352" s="202">
        <v>1345261.8</v>
      </c>
      <c r="J352" s="202">
        <v>194001.99016759777</v>
      </c>
      <c r="K352" s="202">
        <f t="shared" si="10"/>
        <v>194001.99016759777</v>
      </c>
      <c r="L352" s="204">
        <v>482413.57</v>
      </c>
      <c r="M352" s="6">
        <f t="shared" si="11"/>
        <v>288411.57983240223</v>
      </c>
    </row>
    <row r="353" spans="2:13" ht="30">
      <c r="B353" s="9" t="s">
        <v>425</v>
      </c>
      <c r="C353" s="9">
        <v>1477643690</v>
      </c>
      <c r="D353" s="9" t="s">
        <v>1668</v>
      </c>
      <c r="E353" s="9" t="s">
        <v>425</v>
      </c>
      <c r="F353" s="7" t="s">
        <v>1667</v>
      </c>
      <c r="G353" s="9" t="s">
        <v>1582</v>
      </c>
      <c r="H353" s="9" t="s">
        <v>1581</v>
      </c>
      <c r="I353" s="202">
        <v>567191750.39999998</v>
      </c>
      <c r="J353" s="202">
        <v>134891792.91891891</v>
      </c>
      <c r="K353" s="202">
        <f t="shared" si="10"/>
        <v>134891792.91891891</v>
      </c>
      <c r="L353" s="204">
        <v>176678812.27000001</v>
      </c>
      <c r="M353" s="6">
        <f t="shared" si="11"/>
        <v>41787019.351081103</v>
      </c>
    </row>
    <row r="354" spans="2:13" ht="30">
      <c r="B354" s="9" t="s">
        <v>1089</v>
      </c>
      <c r="C354" s="9">
        <v>1174533343</v>
      </c>
      <c r="D354" s="9" t="s">
        <v>1664</v>
      </c>
      <c r="E354" s="9" t="s">
        <v>1089</v>
      </c>
      <c r="F354" s="7" t="s">
        <v>2284</v>
      </c>
      <c r="G354" s="9" t="s">
        <v>1582</v>
      </c>
      <c r="H354" s="9" t="s">
        <v>1581</v>
      </c>
      <c r="I354" s="202">
        <v>22381190.810000002</v>
      </c>
      <c r="J354" s="202">
        <v>1561957.85</v>
      </c>
      <c r="K354" s="202">
        <f t="shared" si="10"/>
        <v>1561957.85</v>
      </c>
      <c r="L354" s="204">
        <v>6002993.4699999997</v>
      </c>
      <c r="M354" s="6">
        <f t="shared" si="11"/>
        <v>4441035.6199999992</v>
      </c>
    </row>
    <row r="355" spans="2:13" ht="45">
      <c r="B355" s="9" t="s">
        <v>1092</v>
      </c>
      <c r="C355" s="9">
        <v>1215296884</v>
      </c>
      <c r="D355" s="9" t="s">
        <v>1663</v>
      </c>
      <c r="E355" s="9" t="s">
        <v>1092</v>
      </c>
      <c r="F355" s="7" t="s">
        <v>2280</v>
      </c>
      <c r="G355" s="9" t="s">
        <v>1582</v>
      </c>
      <c r="H355" s="9" t="s">
        <v>1581</v>
      </c>
      <c r="I355" s="202">
        <v>6933091.5299999993</v>
      </c>
      <c r="J355" s="202">
        <v>522428.60625000001</v>
      </c>
      <c r="K355" s="202">
        <f t="shared" si="10"/>
        <v>522428.60625000001</v>
      </c>
      <c r="L355" s="204">
        <v>1577317.15</v>
      </c>
      <c r="M355" s="6">
        <f t="shared" si="11"/>
        <v>1054888.54375</v>
      </c>
    </row>
    <row r="356" spans="2:13" ht="30">
      <c r="B356" s="9" t="s">
        <v>1095</v>
      </c>
      <c r="C356" s="9">
        <v>1508899204</v>
      </c>
      <c r="D356" s="9" t="s">
        <v>1662</v>
      </c>
      <c r="E356" s="9" t="s">
        <v>1095</v>
      </c>
      <c r="F356" s="7" t="s">
        <v>2269</v>
      </c>
      <c r="G356" s="9" t="s">
        <v>1582</v>
      </c>
      <c r="H356" s="9" t="s">
        <v>1581</v>
      </c>
      <c r="I356" s="202">
        <v>6345736.6199999992</v>
      </c>
      <c r="J356" s="202">
        <v>509949.13124999998</v>
      </c>
      <c r="K356" s="202">
        <f t="shared" si="10"/>
        <v>509949.13124999998</v>
      </c>
      <c r="L356" s="204">
        <v>1160295.73</v>
      </c>
      <c r="M356" s="6">
        <f t="shared" si="11"/>
        <v>650346.59875</v>
      </c>
    </row>
    <row r="357" spans="2:13" ht="45">
      <c r="B357" s="9" t="s">
        <v>1098</v>
      </c>
      <c r="C357" s="9">
        <v>1396778064</v>
      </c>
      <c r="D357" s="9" t="s">
        <v>1661</v>
      </c>
      <c r="E357" s="9" t="s">
        <v>1098</v>
      </c>
      <c r="F357" s="7" t="s">
        <v>2275</v>
      </c>
      <c r="G357" s="9" t="s">
        <v>1582</v>
      </c>
      <c r="H357" s="9" t="s">
        <v>1581</v>
      </c>
      <c r="I357" s="202">
        <v>10473892.109999999</v>
      </c>
      <c r="J357" s="202">
        <v>764336.73124999995</v>
      </c>
      <c r="K357" s="202">
        <f t="shared" si="10"/>
        <v>764336.73124999995</v>
      </c>
      <c r="L357" s="204">
        <v>2353309.69</v>
      </c>
      <c r="M357" s="6">
        <f t="shared" si="11"/>
        <v>1588972.95875</v>
      </c>
    </row>
    <row r="358" spans="2:13" ht="45">
      <c r="B358" s="9" t="s">
        <v>1101</v>
      </c>
      <c r="C358" s="9">
        <v>1336172105</v>
      </c>
      <c r="D358" s="9" t="s">
        <v>1660</v>
      </c>
      <c r="E358" s="9" t="s">
        <v>1101</v>
      </c>
      <c r="F358" s="7" t="s">
        <v>2276</v>
      </c>
      <c r="G358" s="9" t="s">
        <v>1582</v>
      </c>
      <c r="H358" s="9" t="s">
        <v>1581</v>
      </c>
      <c r="I358" s="202">
        <v>53023827.109999999</v>
      </c>
      <c r="J358" s="202">
        <v>3922407.7812499991</v>
      </c>
      <c r="K358" s="202">
        <f t="shared" si="10"/>
        <v>3922407.7812499991</v>
      </c>
      <c r="L358" s="204">
        <v>14384378.050000001</v>
      </c>
      <c r="M358" s="6">
        <f t="shared" si="11"/>
        <v>10461970.268750001</v>
      </c>
    </row>
    <row r="359" spans="2:13" ht="45">
      <c r="B359" s="9" t="s">
        <v>1566</v>
      </c>
      <c r="C359" s="9">
        <v>1104845015</v>
      </c>
      <c r="D359" s="9" t="s">
        <v>1658</v>
      </c>
      <c r="E359" s="9" t="s">
        <v>1566</v>
      </c>
      <c r="F359" s="7" t="s">
        <v>3721</v>
      </c>
      <c r="G359" s="9" t="s">
        <v>1582</v>
      </c>
      <c r="H359" s="9" t="s">
        <v>1581</v>
      </c>
      <c r="I359" s="202">
        <v>13729467.92</v>
      </c>
      <c r="J359" s="202">
        <v>1092633.1937500001</v>
      </c>
      <c r="K359" s="202">
        <f t="shared" si="10"/>
        <v>1092633.1937500001</v>
      </c>
      <c r="L359" s="204">
        <v>3890053.9</v>
      </c>
      <c r="M359" s="6">
        <f t="shared" si="11"/>
        <v>2797420.7062499998</v>
      </c>
    </row>
    <row r="360" spans="2:13" ht="45">
      <c r="B360" s="9" t="s">
        <v>1104</v>
      </c>
      <c r="C360" s="9">
        <v>1417980202</v>
      </c>
      <c r="D360" s="9" t="s">
        <v>1656</v>
      </c>
      <c r="E360" s="9" t="s">
        <v>1104</v>
      </c>
      <c r="F360" s="7" t="s">
        <v>2271</v>
      </c>
      <c r="G360" s="9" t="s">
        <v>1582</v>
      </c>
      <c r="H360" s="9" t="s">
        <v>1581</v>
      </c>
      <c r="I360" s="202">
        <v>21185423.07</v>
      </c>
      <c r="J360" s="202">
        <v>1144490.8937499998</v>
      </c>
      <c r="K360" s="202">
        <f t="shared" si="10"/>
        <v>1144490.8937499998</v>
      </c>
      <c r="L360" s="204">
        <v>6682903.5700000003</v>
      </c>
      <c r="M360" s="6">
        <f t="shared" si="11"/>
        <v>5538412.6762500005</v>
      </c>
    </row>
    <row r="361" spans="2:13" ht="45">
      <c r="B361" s="9" t="s">
        <v>1107</v>
      </c>
      <c r="C361" s="9">
        <v>1922031541</v>
      </c>
      <c r="D361" s="9" t="s">
        <v>1655</v>
      </c>
      <c r="E361" s="9" t="s">
        <v>1107</v>
      </c>
      <c r="F361" s="7" t="s">
        <v>2422</v>
      </c>
      <c r="G361" s="9" t="s">
        <v>1582</v>
      </c>
      <c r="H361" s="9" t="s">
        <v>1581</v>
      </c>
      <c r="I361" s="202">
        <v>5149065.93</v>
      </c>
      <c r="J361" s="202">
        <v>725865.22940397344</v>
      </c>
      <c r="K361" s="202">
        <f t="shared" si="10"/>
        <v>725865.22940397344</v>
      </c>
      <c r="L361" s="204">
        <v>1489690.68</v>
      </c>
      <c r="M361" s="6">
        <f t="shared" si="11"/>
        <v>763825.45059602649</v>
      </c>
    </row>
    <row r="362" spans="2:13" ht="30">
      <c r="B362" s="9" t="s">
        <v>3073</v>
      </c>
      <c r="C362" s="9">
        <v>1104381292</v>
      </c>
      <c r="D362" s="9" t="s">
        <v>3111</v>
      </c>
      <c r="E362" s="9" t="s">
        <v>3073</v>
      </c>
      <c r="F362" s="7" t="s">
        <v>3285</v>
      </c>
      <c r="G362" s="9" t="s">
        <v>1582</v>
      </c>
      <c r="H362" s="9" t="s">
        <v>1581</v>
      </c>
      <c r="I362" s="202">
        <v>2586286.44</v>
      </c>
      <c r="J362" s="202">
        <v>316964.52999999997</v>
      </c>
      <c r="K362" s="202">
        <f t="shared" si="10"/>
        <v>316964.52999999997</v>
      </c>
      <c r="L362" s="204">
        <v>612184.34</v>
      </c>
      <c r="M362" s="6">
        <f t="shared" si="11"/>
        <v>295219.81</v>
      </c>
    </row>
    <row r="363" spans="2:13" ht="60">
      <c r="B363" s="9" t="s">
        <v>1110</v>
      </c>
      <c r="C363" s="9">
        <v>1033120423</v>
      </c>
      <c r="D363" s="9" t="s">
        <v>1654</v>
      </c>
      <c r="E363" s="9" t="s">
        <v>1110</v>
      </c>
      <c r="F363" s="7" t="s">
        <v>2287</v>
      </c>
      <c r="G363" s="9" t="s">
        <v>1582</v>
      </c>
      <c r="H363" s="9" t="s">
        <v>1581</v>
      </c>
      <c r="I363" s="202">
        <v>25017871.32</v>
      </c>
      <c r="J363" s="202">
        <v>1933968.4874999998</v>
      </c>
      <c r="K363" s="202">
        <f t="shared" si="10"/>
        <v>1933968.4874999998</v>
      </c>
      <c r="L363" s="204">
        <v>5096140.3899999997</v>
      </c>
      <c r="M363" s="6">
        <f t="shared" si="11"/>
        <v>3162171.9024999999</v>
      </c>
    </row>
    <row r="364" spans="2:13" ht="45">
      <c r="B364" s="9" t="s">
        <v>428</v>
      </c>
      <c r="C364" s="9">
        <v>1548291883</v>
      </c>
      <c r="D364" s="9" t="s">
        <v>1653</v>
      </c>
      <c r="E364" s="9" t="s">
        <v>428</v>
      </c>
      <c r="F364" s="7" t="s">
        <v>2647</v>
      </c>
      <c r="G364" s="9" t="s">
        <v>1582</v>
      </c>
      <c r="H364" s="9" t="s">
        <v>1581</v>
      </c>
      <c r="I364" s="202">
        <v>5103481.32</v>
      </c>
      <c r="J364" s="202">
        <v>438747.03012048185</v>
      </c>
      <c r="K364" s="202">
        <f t="shared" si="10"/>
        <v>438747.03012048185</v>
      </c>
      <c r="L364" s="204">
        <v>1408111.73</v>
      </c>
      <c r="M364" s="6">
        <f t="shared" si="11"/>
        <v>969364.69987951813</v>
      </c>
    </row>
    <row r="365" spans="2:13" ht="75">
      <c r="B365" s="9" t="s">
        <v>1113</v>
      </c>
      <c r="C365" s="9">
        <v>1396779948</v>
      </c>
      <c r="D365" s="9" t="s">
        <v>1647</v>
      </c>
      <c r="E365" s="9" t="s">
        <v>1113</v>
      </c>
      <c r="F365" s="7" t="s">
        <v>2655</v>
      </c>
      <c r="G365" s="9" t="s">
        <v>1582</v>
      </c>
      <c r="H365" s="9" t="s">
        <v>1581</v>
      </c>
      <c r="I365" s="202">
        <v>20913918.330000002</v>
      </c>
      <c r="J365" s="202">
        <v>1853112.7650602409</v>
      </c>
      <c r="K365" s="202">
        <f t="shared" si="10"/>
        <v>1853112.7650602409</v>
      </c>
      <c r="L365" s="204">
        <v>6440315.6699999999</v>
      </c>
      <c r="M365" s="6">
        <f t="shared" si="11"/>
        <v>4587202.9049397595</v>
      </c>
    </row>
    <row r="366" spans="2:13" ht="45">
      <c r="B366" s="9" t="s">
        <v>1116</v>
      </c>
      <c r="C366" s="9">
        <v>1003883158</v>
      </c>
      <c r="D366" s="9" t="s">
        <v>1652</v>
      </c>
      <c r="E366" s="9" t="s">
        <v>1116</v>
      </c>
      <c r="F366" s="7" t="s">
        <v>2288</v>
      </c>
      <c r="G366" s="9" t="s">
        <v>1582</v>
      </c>
      <c r="H366" s="9" t="s">
        <v>1581</v>
      </c>
      <c r="I366" s="202">
        <v>12176474.9</v>
      </c>
      <c r="J366" s="202">
        <v>696719.05624999991</v>
      </c>
      <c r="K366" s="202">
        <f t="shared" si="10"/>
        <v>696719.05624999991</v>
      </c>
      <c r="L366" s="204">
        <v>3331576.07</v>
      </c>
      <c r="M366" s="6">
        <f t="shared" si="11"/>
        <v>2634857.0137499999</v>
      </c>
    </row>
    <row r="367" spans="2:13" ht="45">
      <c r="B367" s="9" t="s">
        <v>1119</v>
      </c>
      <c r="C367" s="9">
        <v>1457382798</v>
      </c>
      <c r="D367" s="9" t="s">
        <v>1651</v>
      </c>
      <c r="E367" s="9" t="s">
        <v>1119</v>
      </c>
      <c r="F367" s="7" t="s">
        <v>2652</v>
      </c>
      <c r="G367" s="9" t="s">
        <v>1582</v>
      </c>
      <c r="H367" s="9" t="s">
        <v>1581</v>
      </c>
      <c r="I367" s="202">
        <v>7288218.5100000007</v>
      </c>
      <c r="J367" s="202">
        <v>696441.19879518053</v>
      </c>
      <c r="K367" s="202">
        <f t="shared" si="10"/>
        <v>696441.19879518053</v>
      </c>
      <c r="L367" s="204">
        <v>1543994.51</v>
      </c>
      <c r="M367" s="6">
        <f t="shared" si="11"/>
        <v>847553.31120481947</v>
      </c>
    </row>
    <row r="368" spans="2:13" ht="45">
      <c r="B368" s="9" t="s">
        <v>478</v>
      </c>
      <c r="C368" s="9">
        <v>1770514077</v>
      </c>
      <c r="D368" s="9" t="s">
        <v>1650</v>
      </c>
      <c r="E368" s="9" t="s">
        <v>478</v>
      </c>
      <c r="F368" s="7" t="s">
        <v>2635</v>
      </c>
      <c r="G368" s="9" t="s">
        <v>1582</v>
      </c>
      <c r="H368" s="9" t="s">
        <v>1581</v>
      </c>
      <c r="I368" s="202">
        <v>10376512.75</v>
      </c>
      <c r="J368" s="202">
        <v>861415.67469879519</v>
      </c>
      <c r="K368" s="202">
        <f t="shared" si="10"/>
        <v>861415.67469879519</v>
      </c>
      <c r="L368" s="204">
        <v>3051856.92</v>
      </c>
      <c r="M368" s="6">
        <f t="shared" si="11"/>
        <v>2190441.2453012047</v>
      </c>
    </row>
    <row r="369" spans="2:13" ht="75">
      <c r="B369" s="9" t="s">
        <v>431</v>
      </c>
      <c r="C369" s="9">
        <v>1962504340</v>
      </c>
      <c r="D369" s="9" t="s">
        <v>1649</v>
      </c>
      <c r="E369" s="9" t="s">
        <v>431</v>
      </c>
      <c r="F369" s="7" t="s">
        <v>2620</v>
      </c>
      <c r="G369" s="9" t="s">
        <v>1582</v>
      </c>
      <c r="H369" s="9" t="s">
        <v>1581</v>
      </c>
      <c r="I369" s="202">
        <v>1312913.2</v>
      </c>
      <c r="J369" s="202">
        <v>77982.789156626503</v>
      </c>
      <c r="K369" s="202">
        <f t="shared" si="10"/>
        <v>77982.789156626503</v>
      </c>
      <c r="L369" s="204">
        <v>365777.62</v>
      </c>
      <c r="M369" s="6">
        <f t="shared" si="11"/>
        <v>287794.83084337349</v>
      </c>
    </row>
    <row r="370" spans="2:13" ht="60">
      <c r="B370" s="9" t="s">
        <v>1128</v>
      </c>
      <c r="C370" s="9">
        <v>1245201656</v>
      </c>
      <c r="D370" s="9" t="s">
        <v>1648</v>
      </c>
      <c r="E370" s="9" t="s">
        <v>1128</v>
      </c>
      <c r="F370" s="7" t="s">
        <v>1130</v>
      </c>
      <c r="G370" s="9" t="s">
        <v>1582</v>
      </c>
      <c r="H370" s="9" t="s">
        <v>1581</v>
      </c>
      <c r="I370" s="202">
        <v>149259.97</v>
      </c>
      <c r="J370" s="202">
        <v>6753.9096385542161</v>
      </c>
      <c r="K370" s="202">
        <f t="shared" si="10"/>
        <v>6753.9096385542161</v>
      </c>
      <c r="L370" s="204">
        <v>62450.37</v>
      </c>
      <c r="M370" s="6">
        <f t="shared" si="11"/>
        <v>55696.460361445788</v>
      </c>
    </row>
    <row r="371" spans="2:13" ht="60">
      <c r="B371" s="9" t="s">
        <v>434</v>
      </c>
      <c r="C371" s="9">
        <v>1255579389</v>
      </c>
      <c r="D371" s="9" t="s">
        <v>1646</v>
      </c>
      <c r="E371" s="9" t="s">
        <v>434</v>
      </c>
      <c r="F371" s="7" t="s">
        <v>2661</v>
      </c>
      <c r="G371" s="9" t="s">
        <v>1582</v>
      </c>
      <c r="H371" s="9" t="s">
        <v>1581</v>
      </c>
      <c r="I371" s="202">
        <v>11483720.609999999</v>
      </c>
      <c r="J371" s="202">
        <v>457802.47590361442</v>
      </c>
      <c r="K371" s="202">
        <f t="shared" si="10"/>
        <v>457802.47590361442</v>
      </c>
      <c r="L371" s="204">
        <v>2042953.9</v>
      </c>
      <c r="M371" s="6">
        <f t="shared" si="11"/>
        <v>1585151.4240963855</v>
      </c>
    </row>
    <row r="372" spans="2:13" ht="45">
      <c r="B372" s="9" t="s">
        <v>437</v>
      </c>
      <c r="C372" s="9">
        <v>1760628184</v>
      </c>
      <c r="D372" s="9" t="s">
        <v>1645</v>
      </c>
      <c r="E372" s="9" t="s">
        <v>437</v>
      </c>
      <c r="F372" s="7" t="s">
        <v>3723</v>
      </c>
      <c r="G372" s="9" t="s">
        <v>1582</v>
      </c>
      <c r="H372" s="9" t="s">
        <v>1581</v>
      </c>
      <c r="I372" s="202">
        <v>6468874.6099999994</v>
      </c>
      <c r="J372" s="202">
        <v>1061101.2587412582</v>
      </c>
      <c r="K372" s="202">
        <f t="shared" si="10"/>
        <v>1061101.2587412582</v>
      </c>
      <c r="L372" s="204">
        <v>1528152.6</v>
      </c>
      <c r="M372" s="6">
        <f t="shared" si="11"/>
        <v>467051.34125874192</v>
      </c>
    </row>
    <row r="373" spans="2:13" ht="30">
      <c r="B373" s="9" t="s">
        <v>440</v>
      </c>
      <c r="C373" s="9">
        <v>1942292255</v>
      </c>
      <c r="D373" s="9" t="s">
        <v>1643</v>
      </c>
      <c r="E373" s="9" t="s">
        <v>440</v>
      </c>
      <c r="F373" s="7" t="s">
        <v>1642</v>
      </c>
      <c r="G373" s="9" t="s">
        <v>1582</v>
      </c>
      <c r="H373" s="9" t="s">
        <v>1581</v>
      </c>
      <c r="I373" s="202">
        <v>8711836.6799999997</v>
      </c>
      <c r="J373" s="202">
        <v>60231.451086956513</v>
      </c>
      <c r="K373" s="202">
        <f t="shared" si="10"/>
        <v>60231.451086956513</v>
      </c>
      <c r="L373" s="204">
        <v>1879143.17</v>
      </c>
      <c r="M373" s="6">
        <f t="shared" si="11"/>
        <v>1818911.7189130434</v>
      </c>
    </row>
    <row r="374" spans="2:13" ht="45">
      <c r="B374" s="9" t="s">
        <v>1131</v>
      </c>
      <c r="C374" s="9">
        <v>1043328198</v>
      </c>
      <c r="D374" s="9" t="s">
        <v>2181</v>
      </c>
      <c r="E374" s="9" t="s">
        <v>1131</v>
      </c>
      <c r="F374" s="7" t="s">
        <v>2234</v>
      </c>
      <c r="G374" s="9" t="s">
        <v>1582</v>
      </c>
      <c r="H374" s="9" t="s">
        <v>1581</v>
      </c>
      <c r="I374" s="202">
        <v>28849.950000000004</v>
      </c>
      <c r="J374" s="202">
        <v>276.22784810126564</v>
      </c>
      <c r="K374" s="202">
        <f t="shared" si="10"/>
        <v>276.22784810126564</v>
      </c>
      <c r="L374" s="204">
        <v>14696.16</v>
      </c>
      <c r="M374" s="6">
        <f t="shared" si="11"/>
        <v>14419.932151898734</v>
      </c>
    </row>
    <row r="375" spans="2:13" ht="30">
      <c r="B375" s="9" t="s">
        <v>1134</v>
      </c>
      <c r="C375" s="9">
        <v>1861467573</v>
      </c>
      <c r="D375" s="9" t="s">
        <v>1640</v>
      </c>
      <c r="E375" s="9" t="s">
        <v>1134</v>
      </c>
      <c r="F375" s="7" t="s">
        <v>2472</v>
      </c>
      <c r="G375" s="9" t="s">
        <v>1582</v>
      </c>
      <c r="H375" s="9" t="s">
        <v>1581</v>
      </c>
      <c r="I375" s="202">
        <v>30902585.019999996</v>
      </c>
      <c r="J375" s="202">
        <v>1243856.4279475983</v>
      </c>
      <c r="K375" s="202">
        <f t="shared" si="10"/>
        <v>1243856.4279475983</v>
      </c>
      <c r="L375" s="204">
        <v>4733212.9800000004</v>
      </c>
      <c r="M375" s="6">
        <f t="shared" si="11"/>
        <v>3489356.5520524019</v>
      </c>
    </row>
    <row r="376" spans="2:13" ht="45">
      <c r="B376" s="9" t="s">
        <v>1137</v>
      </c>
      <c r="C376" s="9">
        <v>1548387418</v>
      </c>
      <c r="D376" s="9" t="s">
        <v>1639</v>
      </c>
      <c r="E376" s="9" t="s">
        <v>1137</v>
      </c>
      <c r="F376" s="7" t="s">
        <v>3724</v>
      </c>
      <c r="G376" s="9" t="s">
        <v>1582</v>
      </c>
      <c r="H376" s="9" t="s">
        <v>1581</v>
      </c>
      <c r="I376" s="202">
        <v>43175506.950000003</v>
      </c>
      <c r="J376" s="202">
        <v>2375453.3125</v>
      </c>
      <c r="K376" s="202">
        <f t="shared" si="10"/>
        <v>2375453.3125</v>
      </c>
      <c r="L376" s="204">
        <v>8004738.9900000002</v>
      </c>
      <c r="M376" s="6">
        <f t="shared" si="11"/>
        <v>5629285.6775000002</v>
      </c>
    </row>
    <row r="377" spans="2:13" ht="60">
      <c r="B377" s="9" t="s">
        <v>443</v>
      </c>
      <c r="C377" s="9">
        <v>1194753590</v>
      </c>
      <c r="D377" s="9" t="s">
        <v>2183</v>
      </c>
      <c r="E377" s="9" t="s">
        <v>443</v>
      </c>
      <c r="F377" s="7" t="s">
        <v>2281</v>
      </c>
      <c r="G377" s="9" t="s">
        <v>1582</v>
      </c>
      <c r="H377" s="9" t="s">
        <v>1581</v>
      </c>
      <c r="I377" s="202">
        <v>78692.189999999988</v>
      </c>
      <c r="J377" s="202">
        <v>4334.2562500000004</v>
      </c>
      <c r="K377" s="202">
        <f t="shared" si="10"/>
        <v>4334.2562500000004</v>
      </c>
      <c r="L377" s="204">
        <v>21538.05</v>
      </c>
      <c r="M377" s="6">
        <f t="shared" si="11"/>
        <v>17203.793749999997</v>
      </c>
    </row>
    <row r="378" spans="2:13" ht="30">
      <c r="B378" s="9" t="s">
        <v>1140</v>
      </c>
      <c r="C378" s="9">
        <v>1356418974</v>
      </c>
      <c r="D378" s="9" t="s">
        <v>2184</v>
      </c>
      <c r="E378" s="9" t="s">
        <v>1140</v>
      </c>
      <c r="F378" s="7" t="s">
        <v>2336</v>
      </c>
      <c r="G378" s="9" t="s">
        <v>1578</v>
      </c>
      <c r="H378" s="9" t="s">
        <v>1577</v>
      </c>
      <c r="I378" s="202">
        <v>47157.22</v>
      </c>
      <c r="J378" s="202">
        <v>12497.201999999997</v>
      </c>
      <c r="K378" s="202">
        <f t="shared" si="10"/>
        <v>12497.201999999997</v>
      </c>
      <c r="L378" s="204">
        <v>40014.6</v>
      </c>
      <c r="M378" s="6">
        <f t="shared" si="11"/>
        <v>27517.398000000001</v>
      </c>
    </row>
    <row r="379" spans="2:13" ht="45">
      <c r="B379" s="9" t="s">
        <v>1289</v>
      </c>
      <c r="C379" s="9">
        <v>1174526529</v>
      </c>
      <c r="D379" s="9" t="s">
        <v>1634</v>
      </c>
      <c r="E379" s="9" t="s">
        <v>1289</v>
      </c>
      <c r="F379" s="7" t="s">
        <v>2384</v>
      </c>
      <c r="G379" s="9" t="s">
        <v>1578</v>
      </c>
      <c r="H379" s="9" t="s">
        <v>1581</v>
      </c>
      <c r="I379" s="202">
        <v>8239384.5300000012</v>
      </c>
      <c r="J379" s="202">
        <v>1365831.429032258</v>
      </c>
      <c r="K379" s="202">
        <f t="shared" si="10"/>
        <v>1365831.429032258</v>
      </c>
      <c r="L379" s="204">
        <v>3301039.38</v>
      </c>
      <c r="M379" s="6">
        <f t="shared" si="11"/>
        <v>1935207.9509677419</v>
      </c>
    </row>
    <row r="380" spans="2:13" ht="30">
      <c r="B380" s="9" t="s">
        <v>1143</v>
      </c>
      <c r="C380" s="9">
        <v>1144203662</v>
      </c>
      <c r="D380" s="9" t="s">
        <v>1633</v>
      </c>
      <c r="E380" s="9" t="s">
        <v>1143</v>
      </c>
      <c r="F380" s="7" t="s">
        <v>2561</v>
      </c>
      <c r="G380" s="9" t="s">
        <v>1582</v>
      </c>
      <c r="H380" s="9" t="s">
        <v>1581</v>
      </c>
      <c r="I380" s="202">
        <v>458138.48000000004</v>
      </c>
      <c r="J380" s="202">
        <v>4960.3529411764703</v>
      </c>
      <c r="K380" s="202">
        <f t="shared" si="10"/>
        <v>4960.3529411764703</v>
      </c>
      <c r="L380" s="204">
        <v>137487.35999999999</v>
      </c>
      <c r="M380" s="6">
        <f t="shared" si="11"/>
        <v>132527.00705882351</v>
      </c>
    </row>
    <row r="381" spans="2:13" ht="60">
      <c r="B381" s="9" t="s">
        <v>301</v>
      </c>
      <c r="C381" s="9">
        <v>1659440634</v>
      </c>
      <c r="D381" s="9" t="s">
        <v>1632</v>
      </c>
      <c r="E381" s="9" t="s">
        <v>301</v>
      </c>
      <c r="F381" s="7" t="s">
        <v>3725</v>
      </c>
      <c r="G381" s="9" t="s">
        <v>1582</v>
      </c>
      <c r="H381" s="9" t="s">
        <v>1581</v>
      </c>
      <c r="I381" s="202">
        <v>784</v>
      </c>
      <c r="J381" s="202">
        <v>0.01</v>
      </c>
      <c r="K381" s="202">
        <f t="shared" si="10"/>
        <v>0.01</v>
      </c>
      <c r="L381" s="204">
        <v>227.31</v>
      </c>
      <c r="M381" s="6">
        <f t="shared" si="11"/>
        <v>227.3</v>
      </c>
    </row>
    <row r="382" spans="2:13" ht="60">
      <c r="B382" s="9" t="s">
        <v>447</v>
      </c>
      <c r="C382" s="9">
        <v>1609876309</v>
      </c>
      <c r="D382" s="9" t="s">
        <v>1629</v>
      </c>
      <c r="E382" s="9" t="s">
        <v>447</v>
      </c>
      <c r="F382" s="7" t="s">
        <v>2527</v>
      </c>
      <c r="G382" s="9" t="s">
        <v>1582</v>
      </c>
      <c r="H382" s="9" t="s">
        <v>1581</v>
      </c>
      <c r="I382" s="202">
        <v>2269</v>
      </c>
      <c r="J382" s="202">
        <v>0.01</v>
      </c>
      <c r="K382" s="202">
        <f t="shared" si="10"/>
        <v>0.01</v>
      </c>
      <c r="L382" s="204">
        <v>521.77</v>
      </c>
      <c r="M382" s="6">
        <f t="shared" si="11"/>
        <v>521.76</v>
      </c>
    </row>
    <row r="383" spans="2:13" ht="30">
      <c r="B383" s="9" t="s">
        <v>456</v>
      </c>
      <c r="C383" s="9">
        <v>1982609558</v>
      </c>
      <c r="D383" s="9" t="s">
        <v>2185</v>
      </c>
      <c r="E383" s="9" t="s">
        <v>456</v>
      </c>
      <c r="F383" s="7" t="s">
        <v>2186</v>
      </c>
      <c r="G383" s="9" t="s">
        <v>1582</v>
      </c>
      <c r="H383" s="9" t="s">
        <v>1581</v>
      </c>
      <c r="I383" s="202">
        <v>88836.32</v>
      </c>
      <c r="J383" s="202">
        <v>3784.9630630473011</v>
      </c>
      <c r="K383" s="202">
        <f t="shared" si="10"/>
        <v>3784.9630630473011</v>
      </c>
      <c r="L383" s="204">
        <v>32540.74</v>
      </c>
      <c r="M383" s="6">
        <f t="shared" si="11"/>
        <v>28755.776936952701</v>
      </c>
    </row>
    <row r="384" spans="2:13" ht="45">
      <c r="B384" s="9" t="s">
        <v>1149</v>
      </c>
      <c r="C384" s="9">
        <v>1447259627</v>
      </c>
      <c r="D384" s="9" t="s">
        <v>1627</v>
      </c>
      <c r="E384" s="9" t="s">
        <v>1149</v>
      </c>
      <c r="F384" s="7" t="s">
        <v>3726</v>
      </c>
      <c r="G384" s="9" t="s">
        <v>1578</v>
      </c>
      <c r="H384" s="9" t="s">
        <v>1581</v>
      </c>
      <c r="I384" s="202">
        <v>906620.17999999993</v>
      </c>
      <c r="J384" s="202">
        <v>164607.3604848485</v>
      </c>
      <c r="K384" s="202">
        <f t="shared" si="10"/>
        <v>164607.3604848485</v>
      </c>
      <c r="L384" s="204">
        <v>468502.15</v>
      </c>
      <c r="M384" s="6">
        <f t="shared" si="11"/>
        <v>303894.78951515153</v>
      </c>
    </row>
    <row r="385" spans="2:13" ht="45">
      <c r="B385" s="9" t="s">
        <v>459</v>
      </c>
      <c r="C385" s="9">
        <v>1407364847</v>
      </c>
      <c r="D385" s="9" t="s">
        <v>1625</v>
      </c>
      <c r="E385" s="9" t="s">
        <v>459</v>
      </c>
      <c r="F385" s="7" t="s">
        <v>2404</v>
      </c>
      <c r="G385" s="9" t="s">
        <v>1582</v>
      </c>
      <c r="H385" s="9" t="s">
        <v>1581</v>
      </c>
      <c r="I385" s="202">
        <v>48754481.359999999</v>
      </c>
      <c r="J385" s="202">
        <v>1611037.8152173904</v>
      </c>
      <c r="K385" s="202">
        <f t="shared" si="10"/>
        <v>1611037.8152173904</v>
      </c>
      <c r="L385" s="204">
        <v>8973852.2200000007</v>
      </c>
      <c r="M385" s="6">
        <f t="shared" si="11"/>
        <v>7362814.40478261</v>
      </c>
    </row>
    <row r="386" spans="2:13" ht="30">
      <c r="B386" s="9" t="s">
        <v>1571</v>
      </c>
      <c r="C386" s="9">
        <v>1851390967</v>
      </c>
      <c r="D386" s="9" t="s">
        <v>1623</v>
      </c>
      <c r="E386" s="9" t="s">
        <v>1571</v>
      </c>
      <c r="F386" s="7" t="s">
        <v>2396</v>
      </c>
      <c r="G386" s="9" t="s">
        <v>1582</v>
      </c>
      <c r="H386" s="9" t="s">
        <v>1581</v>
      </c>
      <c r="I386" s="202">
        <v>37015886.049999997</v>
      </c>
      <c r="J386" s="202">
        <v>1708444.2228260869</v>
      </c>
      <c r="K386" s="202">
        <f t="shared" si="10"/>
        <v>1708444.2228260869</v>
      </c>
      <c r="L386" s="204">
        <v>6436618.4000000004</v>
      </c>
      <c r="M386" s="6">
        <f t="shared" si="11"/>
        <v>4728174.1771739135</v>
      </c>
    </row>
    <row r="387" spans="2:13" ht="30">
      <c r="B387" s="9" t="s">
        <v>462</v>
      </c>
      <c r="C387" s="9">
        <v>1023013448</v>
      </c>
      <c r="D387" s="9" t="s">
        <v>1622</v>
      </c>
      <c r="E387" s="9" t="s">
        <v>462</v>
      </c>
      <c r="F387" s="7" t="s">
        <v>1621</v>
      </c>
      <c r="G387" s="9" t="s">
        <v>1582</v>
      </c>
      <c r="H387" s="9" t="s">
        <v>1581</v>
      </c>
      <c r="I387" s="202">
        <v>45727652.899999999</v>
      </c>
      <c r="J387" s="202">
        <v>2627448.7142857122</v>
      </c>
      <c r="K387" s="202">
        <f t="shared" si="10"/>
        <v>2627448.7142857122</v>
      </c>
      <c r="L387" s="204">
        <v>14571390.960000001</v>
      </c>
      <c r="M387" s="6">
        <f t="shared" si="11"/>
        <v>11943942.245714288</v>
      </c>
    </row>
    <row r="388" spans="2:13" ht="30">
      <c r="B388" s="9" t="s">
        <v>1152</v>
      </c>
      <c r="C388" s="9">
        <v>1821087164</v>
      </c>
      <c r="D388" s="9" t="s">
        <v>1620</v>
      </c>
      <c r="E388" s="9" t="s">
        <v>1152</v>
      </c>
      <c r="F388" s="7" t="s">
        <v>1619</v>
      </c>
      <c r="G388" s="9" t="s">
        <v>1578</v>
      </c>
      <c r="H388" s="9" t="s">
        <v>1581</v>
      </c>
      <c r="I388" s="202">
        <v>87746957.799999997</v>
      </c>
      <c r="J388" s="202">
        <v>8163712.8749999991</v>
      </c>
      <c r="K388" s="202">
        <f t="shared" si="10"/>
        <v>8163712.8749999991</v>
      </c>
      <c r="L388" s="204">
        <v>18435635.829999998</v>
      </c>
      <c r="M388" s="6">
        <f t="shared" si="11"/>
        <v>10271922.954999998</v>
      </c>
    </row>
    <row r="389" spans="2:13" ht="45">
      <c r="B389" s="9" t="s">
        <v>1616</v>
      </c>
      <c r="C389" s="9" t="s">
        <v>1618</v>
      </c>
      <c r="D389" s="9" t="s">
        <v>1617</v>
      </c>
      <c r="E389" s="9" t="s">
        <v>1616</v>
      </c>
      <c r="F389" s="7" t="s">
        <v>3727</v>
      </c>
      <c r="G389" s="9" t="s">
        <v>1609</v>
      </c>
      <c r="H389" s="9" t="s">
        <v>1581</v>
      </c>
      <c r="I389" s="202">
        <v>21533648.98</v>
      </c>
      <c r="J389" s="202">
        <v>5361968.9800000004</v>
      </c>
      <c r="K389" s="202">
        <f t="shared" si="10"/>
        <v>5361968.9800000004</v>
      </c>
      <c r="L389" s="204">
        <v>9002333.6099999994</v>
      </c>
      <c r="M389" s="6">
        <f t="shared" si="11"/>
        <v>3640364.629999999</v>
      </c>
    </row>
    <row r="390" spans="2:13" ht="30">
      <c r="B390" s="9" t="s">
        <v>1635</v>
      </c>
      <c r="C390" s="9" t="s">
        <v>1637</v>
      </c>
      <c r="D390" s="9" t="s">
        <v>1636</v>
      </c>
      <c r="E390" s="9" t="s">
        <v>1635</v>
      </c>
      <c r="F390" s="7" t="s">
        <v>3728</v>
      </c>
      <c r="G390" s="9" t="s">
        <v>1609</v>
      </c>
      <c r="H390" s="9" t="s">
        <v>1581</v>
      </c>
      <c r="I390" s="202">
        <v>71471043.650000006</v>
      </c>
      <c r="J390" s="202">
        <v>21481594.75</v>
      </c>
      <c r="K390" s="202">
        <f t="shared" si="10"/>
        <v>21481594.75</v>
      </c>
      <c r="L390" s="204">
        <v>30683684.02</v>
      </c>
      <c r="M390" s="6">
        <f t="shared" si="11"/>
        <v>9202089.2699999996</v>
      </c>
    </row>
    <row r="391" spans="2:13" ht="45">
      <c r="B391" s="9" t="s">
        <v>465</v>
      </c>
      <c r="C391" s="9" t="s">
        <v>466</v>
      </c>
      <c r="D391" s="9" t="s">
        <v>1611</v>
      </c>
      <c r="E391" s="9" t="s">
        <v>465</v>
      </c>
      <c r="F391" s="7" t="s">
        <v>3729</v>
      </c>
      <c r="G391" s="9" t="s">
        <v>1609</v>
      </c>
      <c r="H391" s="9" t="s">
        <v>1581</v>
      </c>
      <c r="I391" s="202">
        <v>31307998.240000002</v>
      </c>
      <c r="J391" s="202">
        <v>2882980.9959839354</v>
      </c>
      <c r="K391" s="202">
        <f t="shared" ref="K391:K411" si="12">J391</f>
        <v>2882980.9959839354</v>
      </c>
      <c r="L391" s="204">
        <v>12438163.02</v>
      </c>
      <c r="M391" s="6">
        <f t="shared" si="11"/>
        <v>9555182.0240160637</v>
      </c>
    </row>
    <row r="392" spans="2:13" ht="45">
      <c r="B392" s="9" t="s">
        <v>1613</v>
      </c>
      <c r="C392" s="9" t="s">
        <v>1615</v>
      </c>
      <c r="D392" s="9" t="s">
        <v>1614</v>
      </c>
      <c r="E392" s="9" t="s">
        <v>1613</v>
      </c>
      <c r="F392" s="7" t="s">
        <v>1612</v>
      </c>
      <c r="G392" s="9" t="s">
        <v>1609</v>
      </c>
      <c r="H392" s="9" t="s">
        <v>1581</v>
      </c>
      <c r="I392" s="202">
        <v>196565453.99000001</v>
      </c>
      <c r="J392" s="202">
        <v>34493133.359999985</v>
      </c>
      <c r="K392" s="202">
        <f t="shared" si="12"/>
        <v>34493133.359999985</v>
      </c>
      <c r="L392" s="204">
        <v>67249488.120000005</v>
      </c>
      <c r="M392" s="6">
        <f t="shared" ref="M392:M411" si="13">L392-K392</f>
        <v>32756354.76000002</v>
      </c>
    </row>
    <row r="393" spans="2:13" ht="30">
      <c r="B393" s="9" t="s">
        <v>468</v>
      </c>
      <c r="C393" s="9">
        <v>1659352987</v>
      </c>
      <c r="D393" s="9" t="s">
        <v>1605</v>
      </c>
      <c r="E393" s="9" t="s">
        <v>468</v>
      </c>
      <c r="F393" s="7" t="s">
        <v>1604</v>
      </c>
      <c r="G393" s="9" t="s">
        <v>1582</v>
      </c>
      <c r="H393" s="9" t="s">
        <v>1581</v>
      </c>
      <c r="I393" s="202">
        <v>1620605.7999999998</v>
      </c>
      <c r="J393" s="202">
        <v>78727.25</v>
      </c>
      <c r="K393" s="202">
        <f t="shared" si="12"/>
        <v>78727.25</v>
      </c>
      <c r="L393" s="204">
        <v>497039.8</v>
      </c>
      <c r="M393" s="6">
        <f t="shared" si="13"/>
        <v>418312.55</v>
      </c>
    </row>
    <row r="394" spans="2:13" ht="45">
      <c r="B394" s="9" t="s">
        <v>471</v>
      </c>
      <c r="C394" s="9">
        <v>1740288505</v>
      </c>
      <c r="D394" s="9" t="s">
        <v>2767</v>
      </c>
      <c r="E394" s="9" t="s">
        <v>471</v>
      </c>
      <c r="F394" s="7" t="s">
        <v>2325</v>
      </c>
      <c r="G394" s="9" t="s">
        <v>1578</v>
      </c>
      <c r="H394" s="9" t="s">
        <v>1577</v>
      </c>
      <c r="I394" s="202">
        <v>12015937.66</v>
      </c>
      <c r="J394" s="202">
        <v>2384484.0592499995</v>
      </c>
      <c r="K394" s="202">
        <f t="shared" si="12"/>
        <v>2384484.0592499995</v>
      </c>
      <c r="L394" s="204">
        <v>1242361.44</v>
      </c>
      <c r="M394" s="6">
        <f t="shared" si="13"/>
        <v>-1142122.6192499995</v>
      </c>
    </row>
    <row r="395" spans="2:13" ht="45">
      <c r="B395" s="9" t="s">
        <v>1155</v>
      </c>
      <c r="C395" s="9">
        <v>1104830900</v>
      </c>
      <c r="D395" s="9" t="s">
        <v>1600</v>
      </c>
      <c r="E395" s="9" t="s">
        <v>1155</v>
      </c>
      <c r="F395" s="7" t="s">
        <v>2345</v>
      </c>
      <c r="G395" s="9" t="s">
        <v>1578</v>
      </c>
      <c r="H395" s="9" t="s">
        <v>1581</v>
      </c>
      <c r="I395" s="202">
        <v>10392362.470000001</v>
      </c>
      <c r="J395" s="202">
        <v>957589.16399999987</v>
      </c>
      <c r="K395" s="202">
        <f t="shared" si="12"/>
        <v>957589.16399999987</v>
      </c>
      <c r="L395" s="204">
        <v>2379393.75</v>
      </c>
      <c r="M395" s="6">
        <f t="shared" si="13"/>
        <v>1421804.5860000001</v>
      </c>
    </row>
    <row r="396" spans="2:13" ht="60">
      <c r="B396" s="9" t="s">
        <v>1158</v>
      </c>
      <c r="C396" s="9">
        <v>1184911877</v>
      </c>
      <c r="D396" s="9" t="s">
        <v>1599</v>
      </c>
      <c r="E396" s="9" t="s">
        <v>1158</v>
      </c>
      <c r="F396" s="7" t="s">
        <v>2491</v>
      </c>
      <c r="G396" s="9" t="s">
        <v>1582</v>
      </c>
      <c r="H396" s="9" t="s">
        <v>1581</v>
      </c>
      <c r="I396" s="202">
        <v>64259797.5</v>
      </c>
      <c r="J396" s="202">
        <v>2042344.8461538467</v>
      </c>
      <c r="K396" s="202">
        <f t="shared" si="12"/>
        <v>2042344.8461538467</v>
      </c>
      <c r="L396" s="204">
        <v>6890321.0499999998</v>
      </c>
      <c r="M396" s="6">
        <f t="shared" si="13"/>
        <v>4847976.2038461529</v>
      </c>
    </row>
    <row r="397" spans="2:13" ht="45">
      <c r="B397" s="9" t="s">
        <v>1370</v>
      </c>
      <c r="C397" s="9">
        <v>1154618742</v>
      </c>
      <c r="D397" s="9" t="s">
        <v>1598</v>
      </c>
      <c r="E397" s="9" t="s">
        <v>1370</v>
      </c>
      <c r="F397" s="7" t="s">
        <v>3730</v>
      </c>
      <c r="G397" s="9" t="s">
        <v>1582</v>
      </c>
      <c r="H397" s="9" t="s">
        <v>1581</v>
      </c>
      <c r="I397" s="202">
        <v>114990503.95</v>
      </c>
      <c r="J397" s="202">
        <v>4539993.7869822495</v>
      </c>
      <c r="K397" s="202">
        <f t="shared" si="12"/>
        <v>4539993.7869822495</v>
      </c>
      <c r="L397" s="204">
        <v>12262389.560000001</v>
      </c>
      <c r="M397" s="6">
        <f t="shared" si="13"/>
        <v>7722395.7730177511</v>
      </c>
    </row>
    <row r="398" spans="2:13" ht="45">
      <c r="B398" s="9" t="s">
        <v>1295</v>
      </c>
      <c r="C398" s="9">
        <v>1598744856</v>
      </c>
      <c r="D398" s="9" t="s">
        <v>1597</v>
      </c>
      <c r="E398" s="9" t="s">
        <v>1295</v>
      </c>
      <c r="F398" s="7" t="s">
        <v>2698</v>
      </c>
      <c r="G398" s="9" t="s">
        <v>1582</v>
      </c>
      <c r="H398" s="9" t="s">
        <v>1581</v>
      </c>
      <c r="I398" s="202">
        <v>226999037.04000002</v>
      </c>
      <c r="J398" s="202">
        <v>9308533.7975460179</v>
      </c>
      <c r="K398" s="202">
        <f t="shared" si="12"/>
        <v>9308533.7975460179</v>
      </c>
      <c r="L398" s="204">
        <v>28455691.289999999</v>
      </c>
      <c r="M398" s="6">
        <f t="shared" si="13"/>
        <v>19147157.492453981</v>
      </c>
    </row>
    <row r="399" spans="2:13" ht="60">
      <c r="B399" s="9" t="s">
        <v>1536</v>
      </c>
      <c r="C399" s="9">
        <v>1740693316</v>
      </c>
      <c r="D399" s="9" t="s">
        <v>1596</v>
      </c>
      <c r="E399" s="9" t="s">
        <v>1536</v>
      </c>
      <c r="F399" s="7" t="s">
        <v>2598</v>
      </c>
      <c r="G399" s="9" t="s">
        <v>1582</v>
      </c>
      <c r="H399" s="9" t="s">
        <v>1581</v>
      </c>
      <c r="I399" s="202">
        <v>1762.7</v>
      </c>
      <c r="J399" s="202">
        <v>260</v>
      </c>
      <c r="K399" s="202">
        <f t="shared" si="12"/>
        <v>260</v>
      </c>
      <c r="L399" s="204">
        <v>464.35</v>
      </c>
      <c r="M399" s="6">
        <f t="shared" si="13"/>
        <v>204.35000000000002</v>
      </c>
    </row>
    <row r="400" spans="2:13" ht="45">
      <c r="B400" s="9" t="s">
        <v>1557</v>
      </c>
      <c r="C400" s="9">
        <v>1851343909</v>
      </c>
      <c r="D400" s="9" t="s">
        <v>2012</v>
      </c>
      <c r="E400" s="9" t="s">
        <v>1557</v>
      </c>
      <c r="F400" s="7" t="s">
        <v>3731</v>
      </c>
      <c r="G400" s="9" t="s">
        <v>1582</v>
      </c>
      <c r="H400" s="9" t="s">
        <v>1581</v>
      </c>
      <c r="I400" s="202">
        <v>53056604.390000001</v>
      </c>
      <c r="J400" s="202">
        <v>1993561.9814814813</v>
      </c>
      <c r="K400" s="202">
        <f t="shared" si="12"/>
        <v>1993561.9814814813</v>
      </c>
      <c r="L400" s="204">
        <v>6755914.9699999997</v>
      </c>
      <c r="M400" s="6">
        <f t="shared" si="13"/>
        <v>4762352.9885185184</v>
      </c>
    </row>
    <row r="401" spans="2:13" ht="75">
      <c r="B401" s="9" t="s">
        <v>481</v>
      </c>
      <c r="C401" s="9">
        <v>1891718789</v>
      </c>
      <c r="D401" s="9" t="s">
        <v>1595</v>
      </c>
      <c r="E401" s="9" t="s">
        <v>481</v>
      </c>
      <c r="F401" s="7" t="s">
        <v>3732</v>
      </c>
      <c r="G401" s="9" t="s">
        <v>1582</v>
      </c>
      <c r="H401" s="9" t="s">
        <v>1581</v>
      </c>
      <c r="I401" s="202">
        <v>3623832.04</v>
      </c>
      <c r="J401" s="202">
        <v>84869.841911764728</v>
      </c>
      <c r="K401" s="202">
        <f t="shared" si="12"/>
        <v>84869.841911764728</v>
      </c>
      <c r="L401" s="204">
        <v>765832.04</v>
      </c>
      <c r="M401" s="6">
        <f t="shared" si="13"/>
        <v>680962.19808823534</v>
      </c>
    </row>
    <row r="402" spans="2:13" ht="45">
      <c r="B402" s="9" t="s">
        <v>1541</v>
      </c>
      <c r="C402" s="9">
        <v>1861818809</v>
      </c>
      <c r="D402" s="9" t="s">
        <v>1591</v>
      </c>
      <c r="E402" s="9" t="s">
        <v>1541</v>
      </c>
      <c r="F402" s="7" t="s">
        <v>2211</v>
      </c>
      <c r="G402" s="9" t="s">
        <v>1582</v>
      </c>
      <c r="H402" s="9" t="s">
        <v>1581</v>
      </c>
      <c r="I402" s="202">
        <v>10135.790000000001</v>
      </c>
      <c r="J402" s="202">
        <v>3269.2974683544303</v>
      </c>
      <c r="K402" s="202">
        <f t="shared" si="12"/>
        <v>3269.2974683544303</v>
      </c>
      <c r="L402" s="204">
        <v>15559.46</v>
      </c>
      <c r="M402" s="6">
        <f t="shared" si="13"/>
        <v>12290.162531645568</v>
      </c>
    </row>
    <row r="403" spans="2:13" ht="30">
      <c r="B403" s="9" t="s">
        <v>1168</v>
      </c>
      <c r="C403" s="9">
        <v>1417471467</v>
      </c>
      <c r="D403" s="9" t="s">
        <v>1590</v>
      </c>
      <c r="E403" s="9" t="s">
        <v>1168</v>
      </c>
      <c r="F403" s="7" t="s">
        <v>2272</v>
      </c>
      <c r="G403" s="9" t="s">
        <v>1582</v>
      </c>
      <c r="H403" s="9" t="s">
        <v>1581</v>
      </c>
      <c r="I403" s="202">
        <v>17595302.48</v>
      </c>
      <c r="J403" s="202">
        <v>515524.76874999993</v>
      </c>
      <c r="K403" s="202">
        <f t="shared" si="12"/>
        <v>515524.76874999993</v>
      </c>
      <c r="L403" s="204">
        <v>2819763.35</v>
      </c>
      <c r="M403" s="6">
        <f t="shared" si="13"/>
        <v>2304238.5812500003</v>
      </c>
    </row>
    <row r="404" spans="2:13" ht="60">
      <c r="B404" s="9" t="s">
        <v>1482</v>
      </c>
      <c r="C404" s="9">
        <v>1285699835</v>
      </c>
      <c r="D404" s="9" t="s">
        <v>2759</v>
      </c>
      <c r="E404" s="9" t="s">
        <v>1482</v>
      </c>
      <c r="F404" s="7" t="s">
        <v>2540</v>
      </c>
      <c r="G404" s="9" t="s">
        <v>1582</v>
      </c>
      <c r="H404" s="9" t="s">
        <v>1581</v>
      </c>
      <c r="I404" s="202">
        <v>50055.14</v>
      </c>
      <c r="J404" s="202">
        <v>897.18382352941194</v>
      </c>
      <c r="K404" s="202">
        <f t="shared" si="12"/>
        <v>897.18382352941194</v>
      </c>
      <c r="L404" s="204">
        <v>7898.7</v>
      </c>
      <c r="M404" s="6">
        <f t="shared" si="13"/>
        <v>7001.5161764705881</v>
      </c>
    </row>
    <row r="405" spans="2:13" ht="45">
      <c r="B405" s="9" t="s">
        <v>1547</v>
      </c>
      <c r="C405" s="9">
        <v>1538551791</v>
      </c>
      <c r="D405" s="9" t="s">
        <v>2760</v>
      </c>
      <c r="E405" s="9" t="s">
        <v>1547</v>
      </c>
      <c r="F405" s="7" t="s">
        <v>2487</v>
      </c>
      <c r="G405" s="9" t="s">
        <v>1582</v>
      </c>
      <c r="H405" s="9" t="s">
        <v>1581</v>
      </c>
      <c r="I405" s="202">
        <v>24240.400000000001</v>
      </c>
      <c r="J405" s="202">
        <v>8214.4319526627223</v>
      </c>
      <c r="K405" s="202">
        <f t="shared" si="12"/>
        <v>8214.4319526627223</v>
      </c>
      <c r="L405" s="204">
        <v>6620.15</v>
      </c>
      <c r="M405" s="6">
        <f t="shared" si="13"/>
        <v>-1594.2819526627227</v>
      </c>
    </row>
    <row r="406" spans="2:13" ht="60">
      <c r="B406" s="9" t="s">
        <v>620</v>
      </c>
      <c r="C406" s="9">
        <v>1316931835</v>
      </c>
      <c r="D406" s="9" t="s">
        <v>1589</v>
      </c>
      <c r="E406" s="9" t="s">
        <v>620</v>
      </c>
      <c r="F406" s="7" t="s">
        <v>2338</v>
      </c>
      <c r="G406" s="9" t="s">
        <v>1578</v>
      </c>
      <c r="H406" s="9" t="s">
        <v>1581</v>
      </c>
      <c r="I406" s="202">
        <v>1571361.81</v>
      </c>
      <c r="J406" s="202">
        <v>305148.0267499999</v>
      </c>
      <c r="K406" s="202">
        <f t="shared" si="12"/>
        <v>305148.0267499999</v>
      </c>
      <c r="L406" s="204">
        <v>563175.13</v>
      </c>
      <c r="M406" s="6">
        <f t="shared" si="13"/>
        <v>258027.1032500001</v>
      </c>
    </row>
    <row r="407" spans="2:13" ht="75">
      <c r="B407" s="9" t="s">
        <v>1171</v>
      </c>
      <c r="C407" s="9">
        <v>1871599829</v>
      </c>
      <c r="D407" s="9" t="s">
        <v>1588</v>
      </c>
      <c r="E407" s="9" t="s">
        <v>1171</v>
      </c>
      <c r="F407" s="7" t="s">
        <v>2685</v>
      </c>
      <c r="G407" s="9" t="s">
        <v>1578</v>
      </c>
      <c r="H407" s="9" t="s">
        <v>1581</v>
      </c>
      <c r="I407" s="202">
        <v>3322934.09</v>
      </c>
      <c r="J407" s="202">
        <v>512561.35342857148</v>
      </c>
      <c r="K407" s="202">
        <f t="shared" si="12"/>
        <v>512561.35342857148</v>
      </c>
      <c r="L407" s="204">
        <v>1106111.05</v>
      </c>
      <c r="M407" s="6">
        <f t="shared" si="13"/>
        <v>593549.69657142856</v>
      </c>
    </row>
    <row r="408" spans="2:13" ht="60">
      <c r="B408" s="9" t="s">
        <v>491</v>
      </c>
      <c r="C408" s="9">
        <v>1730183658</v>
      </c>
      <c r="D408" s="9" t="s">
        <v>1587</v>
      </c>
      <c r="E408" s="9" t="s">
        <v>491</v>
      </c>
      <c r="F408" s="7" t="s">
        <v>2326</v>
      </c>
      <c r="G408" s="9" t="s">
        <v>1578</v>
      </c>
      <c r="H408" s="9" t="s">
        <v>1577</v>
      </c>
      <c r="I408" s="202">
        <v>405368.20999999996</v>
      </c>
      <c r="J408" s="202">
        <v>79069.913749999978</v>
      </c>
      <c r="K408" s="202">
        <f t="shared" si="12"/>
        <v>79069.913749999978</v>
      </c>
      <c r="L408" s="204">
        <v>222894.3</v>
      </c>
      <c r="M408" s="6">
        <f t="shared" si="13"/>
        <v>143824.38625000001</v>
      </c>
    </row>
    <row r="409" spans="2:13" ht="30">
      <c r="B409" s="9" t="s">
        <v>1174</v>
      </c>
      <c r="C409" s="9">
        <v>1295781227</v>
      </c>
      <c r="D409" s="9" t="s">
        <v>1586</v>
      </c>
      <c r="E409" s="9" t="s">
        <v>1174</v>
      </c>
      <c r="F409" s="7" t="s">
        <v>1585</v>
      </c>
      <c r="G409" s="9" t="s">
        <v>1582</v>
      </c>
      <c r="H409" s="9" t="s">
        <v>1577</v>
      </c>
      <c r="I409" s="202">
        <v>5826115.0499999998</v>
      </c>
      <c r="J409" s="202">
        <v>734016.64484848478</v>
      </c>
      <c r="K409" s="202">
        <f t="shared" si="12"/>
        <v>734016.64484848478</v>
      </c>
      <c r="L409" s="204">
        <v>1500807.24</v>
      </c>
      <c r="M409" s="6">
        <f t="shared" si="13"/>
        <v>766790.59515151521</v>
      </c>
    </row>
    <row r="410" spans="2:13" ht="45">
      <c r="B410" s="9" t="s">
        <v>3286</v>
      </c>
      <c r="C410" s="9">
        <v>1184042822</v>
      </c>
      <c r="D410" s="9" t="s">
        <v>3287</v>
      </c>
      <c r="E410" s="9" t="s">
        <v>3286</v>
      </c>
      <c r="F410" s="7" t="s">
        <v>3737</v>
      </c>
      <c r="G410" s="9" t="s">
        <v>1582</v>
      </c>
      <c r="H410" s="9" t="s">
        <v>1581</v>
      </c>
      <c r="I410" s="202">
        <v>566231.88</v>
      </c>
      <c r="J410" s="202">
        <v>87252.709999999992</v>
      </c>
      <c r="K410" s="202">
        <f t="shared" si="12"/>
        <v>87252.709999999992</v>
      </c>
      <c r="L410" s="204">
        <v>70495.87</v>
      </c>
      <c r="M410" s="204">
        <f>L410-K410</f>
        <v>-16756.839999999997</v>
      </c>
    </row>
    <row r="411" spans="2:13" ht="30">
      <c r="B411" s="9" t="s">
        <v>1183</v>
      </c>
      <c r="C411" s="9">
        <v>1881697878</v>
      </c>
      <c r="D411" s="9" t="s">
        <v>1580</v>
      </c>
      <c r="E411" s="9" t="s">
        <v>1183</v>
      </c>
      <c r="F411" s="7" t="s">
        <v>1579</v>
      </c>
      <c r="G411" s="9" t="s">
        <v>1578</v>
      </c>
      <c r="H411" s="9" t="s">
        <v>1577</v>
      </c>
      <c r="I411" s="202">
        <v>1790301.4899999998</v>
      </c>
      <c r="J411" s="202">
        <v>287776.60264900664</v>
      </c>
      <c r="K411" s="202">
        <f t="shared" si="12"/>
        <v>287776.60264900664</v>
      </c>
      <c r="L411" s="204">
        <v>558094.98</v>
      </c>
      <c r="M411" s="6">
        <f t="shared" si="13"/>
        <v>270318.37735099334</v>
      </c>
    </row>
    <row r="412" spans="2:13">
      <c r="I412" s="8"/>
      <c r="J412" s="8"/>
      <c r="K412" s="6"/>
      <c r="L412" s="6"/>
      <c r="M412" s="6"/>
    </row>
    <row r="413" spans="2:13">
      <c r="I413" s="8"/>
      <c r="J413" s="8"/>
      <c r="K413" s="6"/>
      <c r="L413" s="6"/>
      <c r="M413" s="6"/>
    </row>
    <row r="414" spans="2:13">
      <c r="I414" s="8"/>
      <c r="J414" s="8"/>
      <c r="K414" s="6"/>
      <c r="L414" s="6"/>
      <c r="M414" s="6"/>
    </row>
    <row r="415" spans="2:13">
      <c r="I415" s="8"/>
      <c r="J415" s="8"/>
      <c r="K415" s="6"/>
      <c r="L415" s="6"/>
      <c r="M415" s="6"/>
    </row>
    <row r="416" spans="2:13">
      <c r="I416" s="8"/>
      <c r="J416" s="8"/>
      <c r="K416" s="6"/>
      <c r="L416" s="6"/>
      <c r="M416" s="6"/>
    </row>
    <row r="417" spans="9:13">
      <c r="I417" s="8"/>
      <c r="J417" s="8"/>
      <c r="K417" s="6"/>
      <c r="L417" s="6"/>
      <c r="M417" s="6"/>
    </row>
    <row r="418" spans="9:13">
      <c r="I418" s="8"/>
      <c r="J418" s="8"/>
      <c r="K418" s="6"/>
      <c r="L418" s="6"/>
      <c r="M418" s="6"/>
    </row>
    <row r="419" spans="9:13">
      <c r="I419" s="8"/>
      <c r="J419" s="8"/>
      <c r="K419" s="6"/>
      <c r="L419" s="6"/>
      <c r="M419" s="6"/>
    </row>
    <row r="420" spans="9:13">
      <c r="I420" s="8"/>
      <c r="J420" s="8"/>
      <c r="K420" s="6"/>
      <c r="L420" s="6"/>
      <c r="M420" s="6"/>
    </row>
    <row r="421" spans="9:13">
      <c r="I421" s="8"/>
      <c r="J421" s="8"/>
      <c r="K421" s="6"/>
      <c r="L421" s="6"/>
      <c r="M421" s="6"/>
    </row>
    <row r="422" spans="9:13">
      <c r="I422" s="8"/>
      <c r="J422" s="8"/>
      <c r="K422" s="6"/>
      <c r="L422" s="6"/>
      <c r="M422" s="6"/>
    </row>
    <row r="423" spans="9:13">
      <c r="I423" s="8"/>
      <c r="J423" s="8"/>
      <c r="K423" s="6"/>
      <c r="L423" s="6"/>
      <c r="M423" s="6"/>
    </row>
    <row r="424" spans="9:13">
      <c r="I424" s="8"/>
      <c r="J424" s="8"/>
      <c r="K424" s="6"/>
      <c r="L424" s="6"/>
      <c r="M424" s="6"/>
    </row>
    <row r="425" spans="9:13">
      <c r="I425" s="8"/>
      <c r="J425" s="8"/>
      <c r="K425" s="6"/>
      <c r="L425" s="6"/>
      <c r="M425" s="6"/>
    </row>
    <row r="426" spans="9:13">
      <c r="I426" s="8"/>
      <c r="J426" s="8"/>
      <c r="K426" s="6"/>
      <c r="L426" s="6"/>
      <c r="M426" s="6"/>
    </row>
    <row r="427" spans="9:13">
      <c r="I427" s="8"/>
      <c r="J427" s="8"/>
      <c r="K427" s="6"/>
      <c r="L427" s="6"/>
      <c r="M427" s="6"/>
    </row>
  </sheetData>
  <autoFilter ref="A6:M411" xr:uid="{2DF5146A-C033-497E-BF1C-518475F051BE}"/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6C684-4B58-465F-9360-F5C6B27568D6}">
  <sheetPr>
    <tabColor theme="9" tint="0.59999389629810485"/>
  </sheetPr>
  <dimension ref="A1:V56"/>
  <sheetViews>
    <sheetView zoomScale="80" zoomScaleNormal="80" workbookViewId="0">
      <selection activeCell="D6" sqref="D6"/>
    </sheetView>
  </sheetViews>
  <sheetFormatPr defaultColWidth="9.09765625" defaultRowHeight="15"/>
  <cols>
    <col min="1" max="2" width="13.09765625" style="9" customWidth="1"/>
    <col min="3" max="5" width="20.296875" style="7" customWidth="1"/>
    <col min="6" max="6" width="22.69921875" style="7" customWidth="1"/>
    <col min="7" max="8" width="20.296875" style="7" customWidth="1"/>
    <col min="9" max="10" width="13.19921875" style="6" customWidth="1"/>
    <col min="11" max="11" width="13.19921875" style="6" bestFit="1" customWidth="1"/>
    <col min="12" max="12" width="12.5" style="6" customWidth="1"/>
    <col min="13" max="13" width="21.5" style="6" customWidth="1"/>
    <col min="14" max="14" width="10.8984375" style="9" customWidth="1"/>
    <col min="15" max="21" width="9.09765625" style="9"/>
    <col min="22" max="22" width="13.69921875" style="9" customWidth="1"/>
    <col min="23" max="16384" width="9.09765625" style="9"/>
  </cols>
  <sheetData>
    <row r="1" spans="1:22" ht="195">
      <c r="A1" s="151" t="s">
        <v>3291</v>
      </c>
      <c r="B1" s="151"/>
      <c r="C1" s="151" t="s">
        <v>3395</v>
      </c>
      <c r="D1" s="151" t="s">
        <v>3396</v>
      </c>
      <c r="E1" s="151" t="s">
        <v>3397</v>
      </c>
      <c r="F1" s="151" t="s">
        <v>3398</v>
      </c>
      <c r="G1" s="151" t="s">
        <v>3399</v>
      </c>
      <c r="H1" s="151"/>
      <c r="I1" s="152" t="s">
        <v>3400</v>
      </c>
      <c r="J1" s="152" t="s">
        <v>3419</v>
      </c>
      <c r="K1" s="152" t="s">
        <v>3401</v>
      </c>
      <c r="L1" s="152" t="s">
        <v>3402</v>
      </c>
      <c r="M1" s="152" t="s">
        <v>3403</v>
      </c>
      <c r="V1" s="7"/>
    </row>
    <row r="2" spans="1:22" ht="60">
      <c r="A2" s="151"/>
      <c r="B2" s="151" t="s">
        <v>0</v>
      </c>
      <c r="C2" s="151" t="s">
        <v>1</v>
      </c>
      <c r="D2" s="151" t="s">
        <v>2851</v>
      </c>
      <c r="E2" s="151" t="s">
        <v>2953</v>
      </c>
      <c r="F2" s="151" t="s">
        <v>2716</v>
      </c>
      <c r="G2" s="151" t="s">
        <v>3404</v>
      </c>
      <c r="H2" s="151" t="s">
        <v>3744</v>
      </c>
      <c r="I2" s="152" t="s">
        <v>3405</v>
      </c>
      <c r="J2" s="152" t="s">
        <v>3420</v>
      </c>
      <c r="K2" s="152" t="s">
        <v>3406</v>
      </c>
      <c r="L2" s="152" t="s">
        <v>3407</v>
      </c>
      <c r="M2" s="152" t="s">
        <v>3310</v>
      </c>
      <c r="V2" s="7"/>
    </row>
    <row r="3" spans="1:22">
      <c r="B3" s="9" t="s">
        <v>1402</v>
      </c>
      <c r="C3" s="7" t="s">
        <v>1403</v>
      </c>
      <c r="D3" s="7" t="s">
        <v>2129</v>
      </c>
      <c r="E3" s="7" t="s">
        <v>1402</v>
      </c>
      <c r="F3" s="7" t="s">
        <v>1404</v>
      </c>
      <c r="G3" s="7" t="s">
        <v>1582</v>
      </c>
      <c r="H3" s="205">
        <v>814132</v>
      </c>
      <c r="I3" s="6">
        <v>110099.6</v>
      </c>
      <c r="J3" s="6">
        <v>430622.4</v>
      </c>
      <c r="K3" s="6">
        <v>320522.8</v>
      </c>
      <c r="L3" s="6">
        <v>0</v>
      </c>
      <c r="M3" s="6">
        <v>320522.8</v>
      </c>
      <c r="O3" s="148"/>
    </row>
    <row r="4" spans="1:22" ht="75">
      <c r="B4" s="9" t="s">
        <v>1209</v>
      </c>
      <c r="C4" s="7" t="s">
        <v>1210</v>
      </c>
      <c r="D4" s="7" t="s">
        <v>2809</v>
      </c>
      <c r="E4" s="7" t="s">
        <v>1209</v>
      </c>
      <c r="F4" s="7" t="s">
        <v>1211</v>
      </c>
      <c r="G4" s="7" t="s">
        <v>1582</v>
      </c>
      <c r="H4" s="205">
        <v>377687</v>
      </c>
      <c r="I4" s="6">
        <v>149136.67000000001</v>
      </c>
      <c r="J4" s="6">
        <v>186761.57</v>
      </c>
      <c r="K4" s="6">
        <v>37624.9</v>
      </c>
      <c r="L4" s="6">
        <v>0</v>
      </c>
      <c r="M4" s="6">
        <v>37624.9</v>
      </c>
      <c r="O4" s="148"/>
    </row>
    <row r="5" spans="1:22" ht="45">
      <c r="B5" s="9" t="s">
        <v>1212</v>
      </c>
      <c r="C5" s="7" t="s">
        <v>1213</v>
      </c>
      <c r="D5" s="7" t="s">
        <v>2810</v>
      </c>
      <c r="E5" s="7" t="s">
        <v>1212</v>
      </c>
      <c r="F5" s="7" t="s">
        <v>1214</v>
      </c>
      <c r="G5" s="7" t="s">
        <v>1582</v>
      </c>
      <c r="H5" s="205">
        <v>7188480</v>
      </c>
      <c r="I5" s="6">
        <v>1291036.32</v>
      </c>
      <c r="J5" s="6">
        <v>2281334.16</v>
      </c>
      <c r="K5" s="6">
        <v>990297.84</v>
      </c>
      <c r="L5" s="6">
        <v>0</v>
      </c>
      <c r="M5" s="6">
        <v>990297.84</v>
      </c>
      <c r="O5" s="148"/>
    </row>
    <row r="6" spans="1:22" ht="75">
      <c r="B6" s="9" t="s">
        <v>1215</v>
      </c>
      <c r="C6" s="7" t="s">
        <v>1216</v>
      </c>
      <c r="D6" s="7" t="s">
        <v>2811</v>
      </c>
      <c r="E6" s="7" t="s">
        <v>1215</v>
      </c>
      <c r="F6" s="7" t="s">
        <v>1217</v>
      </c>
      <c r="G6" s="7" t="s">
        <v>1582</v>
      </c>
      <c r="H6" s="205">
        <v>1460438</v>
      </c>
      <c r="I6" s="6">
        <v>513088.29</v>
      </c>
      <c r="J6" s="6">
        <v>835471.67</v>
      </c>
      <c r="K6" s="6">
        <v>322383.38</v>
      </c>
      <c r="L6" s="6">
        <v>0</v>
      </c>
      <c r="M6" s="6">
        <v>322383.38</v>
      </c>
      <c r="O6" s="148"/>
    </row>
    <row r="7" spans="1:22" ht="30">
      <c r="B7" s="9" t="s">
        <v>1218</v>
      </c>
      <c r="C7" s="7" t="s">
        <v>1219</v>
      </c>
      <c r="D7" s="7" t="s">
        <v>2812</v>
      </c>
      <c r="E7" s="7" t="s">
        <v>1218</v>
      </c>
      <c r="F7" s="7" t="s">
        <v>1220</v>
      </c>
      <c r="G7" s="7" t="s">
        <v>1582</v>
      </c>
      <c r="H7" s="205">
        <v>19034000</v>
      </c>
      <c r="I7" s="6">
        <v>5473195.2000000002</v>
      </c>
      <c r="J7" s="6">
        <v>7604766.5999999996</v>
      </c>
      <c r="K7" s="6">
        <v>2131571.4</v>
      </c>
      <c r="L7" s="6">
        <v>0</v>
      </c>
      <c r="M7" s="6">
        <v>2131571.4</v>
      </c>
      <c r="O7" s="148"/>
    </row>
    <row r="8" spans="1:22" ht="45">
      <c r="B8" s="9" t="s">
        <v>1228</v>
      </c>
      <c r="C8" s="7" t="s">
        <v>1229</v>
      </c>
      <c r="D8" s="7" t="s">
        <v>2813</v>
      </c>
      <c r="E8" s="7" t="s">
        <v>1228</v>
      </c>
      <c r="F8" s="7" t="s">
        <v>1230</v>
      </c>
      <c r="G8" s="7" t="s">
        <v>1582</v>
      </c>
      <c r="H8" s="205">
        <v>1433950</v>
      </c>
      <c r="I8" s="6">
        <v>432029.64</v>
      </c>
      <c r="J8" s="6">
        <v>817354.44</v>
      </c>
      <c r="K8" s="6">
        <v>385324.79999999999</v>
      </c>
      <c r="L8" s="6">
        <v>0</v>
      </c>
      <c r="M8" s="6">
        <v>385324.79999999999</v>
      </c>
      <c r="O8" s="148"/>
    </row>
    <row r="9" spans="1:22" ht="30">
      <c r="B9" s="9" t="s">
        <v>1221</v>
      </c>
      <c r="C9" s="7" t="s">
        <v>1222</v>
      </c>
      <c r="D9" s="7" t="s">
        <v>3165</v>
      </c>
      <c r="E9" s="7" t="s">
        <v>1221</v>
      </c>
      <c r="F9" s="7" t="s">
        <v>1223</v>
      </c>
      <c r="G9" s="7" t="s">
        <v>1582</v>
      </c>
      <c r="H9" s="205">
        <v>1578260</v>
      </c>
      <c r="I9" s="6">
        <v>317752.09999999998</v>
      </c>
      <c r="J9" s="6">
        <v>665508.43999999994</v>
      </c>
      <c r="K9" s="6">
        <v>347756.34</v>
      </c>
      <c r="L9" s="6">
        <v>0</v>
      </c>
      <c r="M9" s="6">
        <v>347756.34</v>
      </c>
      <c r="O9" s="148"/>
    </row>
    <row r="10" spans="1:22" ht="30">
      <c r="B10" s="9" t="s">
        <v>1231</v>
      </c>
      <c r="C10" s="7" t="s">
        <v>1232</v>
      </c>
      <c r="D10" s="7" t="s">
        <v>2814</v>
      </c>
      <c r="E10" s="7" t="s">
        <v>1231</v>
      </c>
      <c r="F10" s="7" t="s">
        <v>1233</v>
      </c>
      <c r="G10" s="7" t="s">
        <v>1582</v>
      </c>
      <c r="H10" s="205">
        <v>11653950</v>
      </c>
      <c r="I10" s="6">
        <v>3335730.6</v>
      </c>
      <c r="J10" s="6">
        <v>4546067.0999999996</v>
      </c>
      <c r="K10" s="6">
        <v>1210336.5</v>
      </c>
      <c r="L10" s="6">
        <v>0</v>
      </c>
      <c r="M10" s="6">
        <v>1210336.5</v>
      </c>
      <c r="O10" s="148"/>
    </row>
    <row r="11" spans="1:22" ht="45">
      <c r="B11" s="9" t="s">
        <v>1234</v>
      </c>
      <c r="C11" s="7" t="s">
        <v>1235</v>
      </c>
      <c r="D11" s="7" t="s">
        <v>2815</v>
      </c>
      <c r="E11" s="7" t="s">
        <v>1234</v>
      </c>
      <c r="F11" s="7" t="s">
        <v>1236</v>
      </c>
      <c r="G11" s="7" t="s">
        <v>1582</v>
      </c>
      <c r="H11" s="205">
        <v>2874375</v>
      </c>
      <c r="I11" s="6">
        <v>860687.9</v>
      </c>
      <c r="J11" s="6">
        <v>1400804.89</v>
      </c>
      <c r="K11" s="6">
        <v>540116.99</v>
      </c>
      <c r="L11" s="6">
        <v>0</v>
      </c>
      <c r="M11" s="6">
        <v>540116.99</v>
      </c>
      <c r="O11" s="148"/>
    </row>
    <row r="12" spans="1:22" ht="45">
      <c r="B12" s="9" t="s">
        <v>1498</v>
      </c>
      <c r="C12" s="7" t="s">
        <v>1499</v>
      </c>
      <c r="D12" s="7" t="s">
        <v>2816</v>
      </c>
      <c r="E12" s="7" t="s">
        <v>1498</v>
      </c>
      <c r="F12" s="7" t="s">
        <v>3279</v>
      </c>
      <c r="G12" s="7" t="s">
        <v>1582</v>
      </c>
      <c r="H12" s="205">
        <v>3098240</v>
      </c>
      <c r="I12" s="6">
        <v>790325.8</v>
      </c>
      <c r="J12" s="6">
        <v>996690.8</v>
      </c>
      <c r="K12" s="6">
        <v>206365</v>
      </c>
      <c r="L12" s="6">
        <v>0</v>
      </c>
      <c r="M12" s="6">
        <v>206365</v>
      </c>
      <c r="O12" s="148"/>
    </row>
    <row r="13" spans="1:22" ht="30">
      <c r="B13" s="9" t="s">
        <v>1241</v>
      </c>
      <c r="C13" s="7" t="s">
        <v>1242</v>
      </c>
      <c r="D13" s="7" t="s">
        <v>2817</v>
      </c>
      <c r="E13" s="7" t="s">
        <v>1241</v>
      </c>
      <c r="F13" s="7" t="s">
        <v>1243</v>
      </c>
      <c r="G13" s="7" t="s">
        <v>1582</v>
      </c>
      <c r="H13" s="205">
        <v>6644000</v>
      </c>
      <c r="I13" s="6">
        <v>1826523.16</v>
      </c>
      <c r="J13" s="6">
        <v>2594112.13</v>
      </c>
      <c r="K13" s="6">
        <v>767588.97</v>
      </c>
      <c r="L13" s="6">
        <v>0</v>
      </c>
      <c r="M13" s="6">
        <v>767588.97</v>
      </c>
      <c r="O13" s="148"/>
    </row>
    <row r="14" spans="1:22" ht="90">
      <c r="B14" s="9" t="s">
        <v>1244</v>
      </c>
      <c r="C14" s="7" t="s">
        <v>1245</v>
      </c>
      <c r="D14" s="7" t="s">
        <v>2818</v>
      </c>
      <c r="E14" s="7" t="s">
        <v>1244</v>
      </c>
      <c r="F14" s="7" t="s">
        <v>1246</v>
      </c>
      <c r="G14" s="7" t="s">
        <v>1582</v>
      </c>
      <c r="H14" s="205">
        <v>3518750</v>
      </c>
      <c r="I14" s="6">
        <v>749766.4</v>
      </c>
      <c r="J14" s="6">
        <v>1175694.24</v>
      </c>
      <c r="K14" s="6">
        <v>425927.84</v>
      </c>
      <c r="L14" s="6">
        <v>0</v>
      </c>
      <c r="M14" s="6">
        <v>425927.84</v>
      </c>
      <c r="O14" s="148"/>
    </row>
    <row r="15" spans="1:22" ht="45">
      <c r="B15" s="9" t="s">
        <v>1247</v>
      </c>
      <c r="C15" s="7" t="s">
        <v>1248</v>
      </c>
      <c r="D15" s="7" t="s">
        <v>3593</v>
      </c>
      <c r="E15" s="7" t="s">
        <v>1247</v>
      </c>
      <c r="F15" s="7" t="s">
        <v>1249</v>
      </c>
      <c r="G15" s="7" t="s">
        <v>1582</v>
      </c>
      <c r="H15" s="205">
        <v>5522000</v>
      </c>
      <c r="I15" s="6">
        <v>1480506.72</v>
      </c>
      <c r="J15" s="6">
        <v>2201547.48</v>
      </c>
      <c r="K15" s="6">
        <v>721040.76</v>
      </c>
      <c r="L15" s="6">
        <v>0</v>
      </c>
      <c r="M15" s="6">
        <v>721040.76</v>
      </c>
      <c r="O15" s="148"/>
    </row>
    <row r="16" spans="1:22" ht="60">
      <c r="B16" s="9" t="s">
        <v>1250</v>
      </c>
      <c r="C16" s="7" t="s">
        <v>1251</v>
      </c>
      <c r="D16" s="7" t="s">
        <v>2819</v>
      </c>
      <c r="E16" s="7" t="s">
        <v>1250</v>
      </c>
      <c r="F16" s="7" t="s">
        <v>3253</v>
      </c>
      <c r="G16" s="7" t="s">
        <v>1582</v>
      </c>
      <c r="H16" s="205">
        <v>22985398</v>
      </c>
      <c r="I16" s="6">
        <v>6548909.1500000004</v>
      </c>
      <c r="J16" s="6">
        <v>5406684.0499999998</v>
      </c>
      <c r="K16" s="6">
        <v>-1142225.1000000001</v>
      </c>
      <c r="L16" s="6">
        <v>0</v>
      </c>
      <c r="M16" s="6">
        <v>-1142225.1000000001</v>
      </c>
      <c r="O16" s="148"/>
    </row>
    <row r="17" spans="2:15" ht="60">
      <c r="B17" s="9" t="s">
        <v>1253</v>
      </c>
      <c r="C17" s="7" t="s">
        <v>1254</v>
      </c>
      <c r="D17" s="7" t="s">
        <v>2820</v>
      </c>
      <c r="E17" s="7" t="s">
        <v>1253</v>
      </c>
      <c r="F17" s="7" t="s">
        <v>1255</v>
      </c>
      <c r="G17" s="7" t="s">
        <v>1582</v>
      </c>
      <c r="H17" s="205">
        <v>1852500</v>
      </c>
      <c r="I17" s="6">
        <v>496010.04</v>
      </c>
      <c r="J17" s="6">
        <v>1096997.01</v>
      </c>
      <c r="K17" s="6">
        <v>600986.97</v>
      </c>
      <c r="L17" s="6">
        <v>0</v>
      </c>
      <c r="M17" s="6">
        <v>600986.97</v>
      </c>
      <c r="O17" s="148"/>
    </row>
    <row r="18" spans="2:15" ht="45">
      <c r="B18" s="9" t="s">
        <v>2779</v>
      </c>
      <c r="C18" s="7" t="s">
        <v>2780</v>
      </c>
      <c r="D18" s="7" t="s">
        <v>2821</v>
      </c>
      <c r="E18" s="7" t="s">
        <v>2779</v>
      </c>
      <c r="F18" s="7" t="s">
        <v>3250</v>
      </c>
      <c r="G18" s="7" t="s">
        <v>1609</v>
      </c>
      <c r="H18" s="205">
        <v>261151</v>
      </c>
      <c r="I18" s="6">
        <v>111788.74</v>
      </c>
      <c r="J18" s="6">
        <v>245190.12</v>
      </c>
      <c r="K18" s="6">
        <v>133401.38</v>
      </c>
      <c r="L18" s="6">
        <v>0</v>
      </c>
      <c r="M18" s="6">
        <v>133401.38</v>
      </c>
      <c r="O18" s="148"/>
    </row>
    <row r="19" spans="2:15" ht="45">
      <c r="B19" s="9" t="s">
        <v>2781</v>
      </c>
      <c r="C19" s="7" t="s">
        <v>2782</v>
      </c>
      <c r="D19" s="7" t="s">
        <v>3160</v>
      </c>
      <c r="E19" s="7" t="s">
        <v>2781</v>
      </c>
      <c r="F19" s="7" t="s">
        <v>3257</v>
      </c>
      <c r="G19" s="7" t="s">
        <v>1609</v>
      </c>
      <c r="H19" s="205">
        <v>25452</v>
      </c>
      <c r="I19" s="6">
        <v>10980.36</v>
      </c>
      <c r="J19" s="6">
        <v>25791.119999999999</v>
      </c>
      <c r="K19" s="6">
        <v>14810.76</v>
      </c>
      <c r="L19" s="6">
        <v>0</v>
      </c>
      <c r="M19" s="6">
        <v>14810.76</v>
      </c>
      <c r="O19" s="148"/>
    </row>
    <row r="20" spans="2:15" ht="60">
      <c r="B20" s="9" t="s">
        <v>2785</v>
      </c>
      <c r="C20" s="7" t="s">
        <v>2786</v>
      </c>
      <c r="D20" s="7" t="s">
        <v>2823</v>
      </c>
      <c r="E20" s="7" t="s">
        <v>2785</v>
      </c>
      <c r="F20" s="7" t="s">
        <v>3251</v>
      </c>
      <c r="G20" s="7" t="s">
        <v>1609</v>
      </c>
      <c r="H20" s="205">
        <v>641</v>
      </c>
      <c r="I20" s="6">
        <v>551.27</v>
      </c>
      <c r="J20" s="6">
        <v>683.78</v>
      </c>
      <c r="K20" s="6">
        <v>132.51</v>
      </c>
      <c r="L20" s="6">
        <v>0</v>
      </c>
      <c r="M20" s="6">
        <v>132.51</v>
      </c>
      <c r="O20" s="148"/>
    </row>
    <row r="21" spans="2:15" ht="60">
      <c r="B21" s="9" t="s">
        <v>2783</v>
      </c>
      <c r="C21" s="7" t="s">
        <v>2784</v>
      </c>
      <c r="D21" s="7" t="s">
        <v>2822</v>
      </c>
      <c r="E21" s="7" t="s">
        <v>2783</v>
      </c>
      <c r="F21" s="7" t="s">
        <v>3251</v>
      </c>
      <c r="G21" s="7" t="s">
        <v>1609</v>
      </c>
      <c r="H21" s="205">
        <v>726740</v>
      </c>
      <c r="I21" s="6">
        <v>522575.44</v>
      </c>
      <c r="J21" s="6">
        <v>790460.81</v>
      </c>
      <c r="K21" s="6">
        <v>267885.37</v>
      </c>
      <c r="L21" s="6">
        <v>0</v>
      </c>
      <c r="M21" s="6">
        <v>267885.37</v>
      </c>
      <c r="O21" s="148"/>
    </row>
    <row r="22" spans="2:15" ht="60">
      <c r="B22" s="9" t="s">
        <v>2496</v>
      </c>
      <c r="C22" s="7" t="s">
        <v>2787</v>
      </c>
      <c r="D22" s="7" t="s">
        <v>3082</v>
      </c>
      <c r="E22" s="7" t="s">
        <v>2496</v>
      </c>
      <c r="F22" s="7" t="s">
        <v>3252</v>
      </c>
      <c r="G22" s="7" t="s">
        <v>1609</v>
      </c>
      <c r="H22" s="205">
        <v>1268185</v>
      </c>
      <c r="I22" s="6">
        <v>296549.3</v>
      </c>
      <c r="J22" s="6">
        <v>634841.4</v>
      </c>
      <c r="K22" s="6">
        <v>338292.1</v>
      </c>
      <c r="L22" s="6">
        <v>0</v>
      </c>
      <c r="M22" s="6">
        <v>338292.1</v>
      </c>
      <c r="O22" s="148"/>
    </row>
    <row r="23" spans="2:15" ht="45">
      <c r="B23" s="9" t="s">
        <v>2788</v>
      </c>
      <c r="C23" s="7" t="s">
        <v>2789</v>
      </c>
      <c r="D23" s="7" t="s">
        <v>3158</v>
      </c>
      <c r="E23" s="7" t="s">
        <v>2788</v>
      </c>
      <c r="F23" s="7" t="s">
        <v>3256</v>
      </c>
      <c r="G23" s="7" t="s">
        <v>1609</v>
      </c>
      <c r="H23" s="205">
        <v>136127</v>
      </c>
      <c r="I23" s="6">
        <v>107047.83</v>
      </c>
      <c r="J23" s="6">
        <v>141134.74</v>
      </c>
      <c r="K23" s="6">
        <v>34086.910000000003</v>
      </c>
      <c r="L23" s="6">
        <v>0</v>
      </c>
      <c r="M23" s="6">
        <v>34086.910000000003</v>
      </c>
      <c r="O23" s="148"/>
    </row>
    <row r="24" spans="2:15" ht="60">
      <c r="B24" s="9" t="s">
        <v>2790</v>
      </c>
      <c r="C24" s="7" t="s">
        <v>2791</v>
      </c>
      <c r="D24" s="7" t="s">
        <v>2824</v>
      </c>
      <c r="E24" s="7" t="s">
        <v>2790</v>
      </c>
      <c r="F24" s="7" t="s">
        <v>3259</v>
      </c>
      <c r="G24" s="7" t="s">
        <v>1609</v>
      </c>
      <c r="H24" s="205">
        <v>303330</v>
      </c>
      <c r="I24" s="6">
        <v>169955.15</v>
      </c>
      <c r="J24" s="6">
        <v>379922.66</v>
      </c>
      <c r="K24" s="6">
        <v>209967.51</v>
      </c>
      <c r="L24" s="6">
        <v>0</v>
      </c>
      <c r="M24" s="6">
        <v>209967.51</v>
      </c>
      <c r="O24" s="148"/>
    </row>
    <row r="25" spans="2:15" ht="60">
      <c r="B25" s="9" t="s">
        <v>2792</v>
      </c>
      <c r="C25" s="7" t="s">
        <v>2793</v>
      </c>
      <c r="D25" s="7" t="s">
        <v>2825</v>
      </c>
      <c r="E25" s="7" t="s">
        <v>2792</v>
      </c>
      <c r="F25" s="7" t="s">
        <v>3255</v>
      </c>
      <c r="G25" s="7" t="s">
        <v>1609</v>
      </c>
      <c r="H25" s="205">
        <v>1105325</v>
      </c>
      <c r="I25" s="6">
        <v>639124.85</v>
      </c>
      <c r="J25" s="6">
        <v>826116.2</v>
      </c>
      <c r="K25" s="6">
        <v>186991.35</v>
      </c>
      <c r="L25" s="6">
        <v>0</v>
      </c>
      <c r="M25" s="6">
        <v>186991.35</v>
      </c>
      <c r="O25" s="148"/>
    </row>
    <row r="26" spans="2:15" ht="45">
      <c r="B26" s="9" t="s">
        <v>2794</v>
      </c>
      <c r="C26" s="7" t="s">
        <v>2795</v>
      </c>
      <c r="D26" s="7" t="s">
        <v>2826</v>
      </c>
      <c r="E26" s="7" t="s">
        <v>2794</v>
      </c>
      <c r="F26" s="7" t="s">
        <v>3258</v>
      </c>
      <c r="G26" s="7" t="s">
        <v>1609</v>
      </c>
      <c r="H26" s="205">
        <v>404543</v>
      </c>
      <c r="I26" s="6">
        <v>193398.15</v>
      </c>
      <c r="J26" s="6">
        <v>461192.89</v>
      </c>
      <c r="K26" s="6">
        <v>267794.74</v>
      </c>
      <c r="L26" s="6">
        <v>0</v>
      </c>
      <c r="M26" s="6">
        <v>267794.74</v>
      </c>
      <c r="O26" s="148"/>
    </row>
    <row r="27" spans="2:15" ht="30">
      <c r="B27" s="9" t="s">
        <v>1259</v>
      </c>
      <c r="C27" s="7" t="s">
        <v>1260</v>
      </c>
      <c r="D27" s="7" t="s">
        <v>2827</v>
      </c>
      <c r="E27" s="7" t="s">
        <v>1259</v>
      </c>
      <c r="F27" s="7" t="s">
        <v>1261</v>
      </c>
      <c r="G27" s="7" t="s">
        <v>1582</v>
      </c>
      <c r="H27" s="205">
        <v>6031275</v>
      </c>
      <c r="I27" s="6">
        <v>985690.08</v>
      </c>
      <c r="J27" s="6">
        <v>1864866.54</v>
      </c>
      <c r="K27" s="6">
        <v>879176.46</v>
      </c>
      <c r="L27" s="6">
        <v>0</v>
      </c>
      <c r="M27" s="6">
        <v>879176.46</v>
      </c>
      <c r="O27" s="148"/>
    </row>
    <row r="28" spans="2:15" ht="45">
      <c r="B28" s="9" t="s">
        <v>1262</v>
      </c>
      <c r="C28" s="7" t="s">
        <v>1263</v>
      </c>
      <c r="D28" s="7" t="s">
        <v>2828</v>
      </c>
      <c r="E28" s="7" t="s">
        <v>1262</v>
      </c>
      <c r="F28" s="7" t="s">
        <v>1264</v>
      </c>
      <c r="G28" s="7" t="s">
        <v>1582</v>
      </c>
      <c r="H28" s="205">
        <v>4045800</v>
      </c>
      <c r="I28" s="6">
        <v>1348600</v>
      </c>
      <c r="J28" s="6">
        <v>1867099.92</v>
      </c>
      <c r="K28" s="6">
        <v>518499.92</v>
      </c>
      <c r="L28" s="6">
        <v>0</v>
      </c>
      <c r="M28" s="6">
        <v>518499.92</v>
      </c>
      <c r="O28" s="148"/>
    </row>
    <row r="29" spans="2:15" ht="45">
      <c r="B29" s="9" t="s">
        <v>1265</v>
      </c>
      <c r="C29" s="7" t="s">
        <v>1266</v>
      </c>
      <c r="D29" s="7" t="s">
        <v>2829</v>
      </c>
      <c r="E29" s="7" t="s">
        <v>1265</v>
      </c>
      <c r="F29" s="7" t="s">
        <v>1267</v>
      </c>
      <c r="G29" s="7" t="s">
        <v>1582</v>
      </c>
      <c r="H29" s="205">
        <v>12918375</v>
      </c>
      <c r="I29" s="6">
        <v>3120004.26</v>
      </c>
      <c r="J29" s="6">
        <v>5109027.74</v>
      </c>
      <c r="K29" s="6">
        <v>1989023.48</v>
      </c>
      <c r="L29" s="6">
        <v>0</v>
      </c>
      <c r="M29" s="6">
        <v>1989023.48</v>
      </c>
      <c r="O29" s="148"/>
    </row>
    <row r="30" spans="2:15" ht="45">
      <c r="B30" s="9" t="s">
        <v>488</v>
      </c>
      <c r="C30" s="7" t="s">
        <v>489</v>
      </c>
      <c r="D30" s="7" t="s">
        <v>2830</v>
      </c>
      <c r="E30" s="7" t="s">
        <v>488</v>
      </c>
      <c r="F30" s="7" t="s">
        <v>490</v>
      </c>
      <c r="G30" s="7" t="s">
        <v>1582</v>
      </c>
      <c r="H30" s="205">
        <v>1914265</v>
      </c>
      <c r="I30" s="6">
        <v>1041810.64</v>
      </c>
      <c r="J30" s="6">
        <v>1605717.28</v>
      </c>
      <c r="K30" s="6">
        <v>563906.64</v>
      </c>
      <c r="L30" s="6">
        <v>0</v>
      </c>
      <c r="M30" s="6">
        <v>563906.64</v>
      </c>
      <c r="O30" s="148"/>
    </row>
    <row r="31" spans="2:15" ht="75">
      <c r="B31" s="9" t="s">
        <v>3615</v>
      </c>
      <c r="C31" s="7" t="s">
        <v>3614</v>
      </c>
      <c r="D31" s="7" t="s">
        <v>2840</v>
      </c>
      <c r="E31" s="7" t="s">
        <v>3615</v>
      </c>
      <c r="F31" s="7" t="s">
        <v>3616</v>
      </c>
      <c r="G31" s="7" t="s">
        <v>1582</v>
      </c>
      <c r="H31" s="205">
        <v>2916000</v>
      </c>
      <c r="I31" s="6">
        <v>698558.65</v>
      </c>
      <c r="J31" s="6">
        <v>1189043.1299999999</v>
      </c>
      <c r="K31" s="6">
        <v>490484.47999999998</v>
      </c>
      <c r="L31" s="6">
        <v>0</v>
      </c>
      <c r="M31" s="6">
        <v>490484.47999999998</v>
      </c>
      <c r="O31" s="148"/>
    </row>
    <row r="32" spans="2:15" ht="30">
      <c r="B32" s="9" t="s">
        <v>1268</v>
      </c>
      <c r="C32" s="7" t="s">
        <v>1269</v>
      </c>
      <c r="D32" s="7" t="s">
        <v>2831</v>
      </c>
      <c r="E32" s="7" t="s">
        <v>1268</v>
      </c>
      <c r="F32" s="7" t="s">
        <v>1270</v>
      </c>
      <c r="G32" s="7" t="s">
        <v>1609</v>
      </c>
      <c r="H32" s="205">
        <v>800383</v>
      </c>
      <c r="I32" s="6">
        <v>263580.24</v>
      </c>
      <c r="J32" s="6">
        <v>519792</v>
      </c>
      <c r="K32" s="6">
        <v>256211.76</v>
      </c>
      <c r="L32" s="6">
        <v>0</v>
      </c>
      <c r="M32" s="6">
        <v>256211.76</v>
      </c>
      <c r="O32" s="148"/>
    </row>
    <row r="33" spans="2:15" ht="75">
      <c r="B33" s="9" t="s">
        <v>3611</v>
      </c>
      <c r="C33" s="7" t="s">
        <v>3610</v>
      </c>
      <c r="D33" s="7" t="s">
        <v>3612</v>
      </c>
      <c r="E33" s="7" t="s">
        <v>3611</v>
      </c>
      <c r="F33" s="7" t="s">
        <v>3613</v>
      </c>
      <c r="G33" s="7" t="s">
        <v>1582</v>
      </c>
      <c r="H33" s="205">
        <v>918789</v>
      </c>
      <c r="I33" s="6">
        <v>115322.4</v>
      </c>
      <c r="J33" s="6">
        <v>465403.44</v>
      </c>
      <c r="K33" s="6">
        <v>350081.04</v>
      </c>
      <c r="L33" s="6">
        <v>0</v>
      </c>
      <c r="M33" s="6">
        <v>350081.04</v>
      </c>
      <c r="O33" s="148"/>
    </row>
    <row r="34" spans="2:15">
      <c r="B34" s="9" t="s">
        <v>1272</v>
      </c>
      <c r="C34" s="7" t="s">
        <v>1273</v>
      </c>
      <c r="D34" s="7" t="s">
        <v>2832</v>
      </c>
      <c r="E34" s="7" t="s">
        <v>1272</v>
      </c>
      <c r="F34" s="7" t="s">
        <v>1274</v>
      </c>
      <c r="G34" s="7" t="s">
        <v>1582</v>
      </c>
      <c r="H34" s="205">
        <v>1994412</v>
      </c>
      <c r="I34" s="6">
        <v>457374.9</v>
      </c>
      <c r="J34" s="6">
        <v>773993.3</v>
      </c>
      <c r="K34" s="6">
        <v>316618.40000000002</v>
      </c>
      <c r="L34" s="6">
        <v>0</v>
      </c>
      <c r="M34" s="6">
        <v>316618.40000000002</v>
      </c>
      <c r="O34" s="148"/>
    </row>
    <row r="35" spans="2:15">
      <c r="B35" s="9" t="s">
        <v>1275</v>
      </c>
      <c r="C35" s="7" t="s">
        <v>1276</v>
      </c>
      <c r="D35" s="7" t="s">
        <v>3592</v>
      </c>
      <c r="E35" s="7" t="s">
        <v>1275</v>
      </c>
      <c r="F35" s="7" t="s">
        <v>1277</v>
      </c>
      <c r="G35" s="7" t="s">
        <v>1582</v>
      </c>
      <c r="H35" s="205">
        <v>7907340</v>
      </c>
      <c r="I35" s="6">
        <v>1928104.5</v>
      </c>
      <c r="J35" s="6">
        <v>3188463.63</v>
      </c>
      <c r="K35" s="6">
        <v>1260359.1299999999</v>
      </c>
      <c r="L35" s="6">
        <v>0</v>
      </c>
      <c r="M35" s="6">
        <v>1260359.1299999999</v>
      </c>
      <c r="O35" s="148"/>
    </row>
    <row r="36" spans="2:15" ht="45">
      <c r="B36" s="9" t="s">
        <v>1283</v>
      </c>
      <c r="C36" s="7" t="s">
        <v>1284</v>
      </c>
      <c r="D36" s="7" t="s">
        <v>2833</v>
      </c>
      <c r="E36" s="7" t="s">
        <v>1283</v>
      </c>
      <c r="F36" s="7" t="s">
        <v>1285</v>
      </c>
      <c r="G36" s="7" t="s">
        <v>1582</v>
      </c>
      <c r="H36" s="205">
        <v>3842949</v>
      </c>
      <c r="I36" s="6">
        <v>1291704.96</v>
      </c>
      <c r="J36" s="6">
        <v>1954392.96</v>
      </c>
      <c r="K36" s="6">
        <v>662688</v>
      </c>
      <c r="L36" s="6">
        <v>0</v>
      </c>
      <c r="M36" s="6">
        <v>662688</v>
      </c>
      <c r="O36" s="148"/>
    </row>
    <row r="37" spans="2:15" ht="30">
      <c r="B37" s="9" t="s">
        <v>1286</v>
      </c>
      <c r="C37" s="7" t="s">
        <v>1287</v>
      </c>
      <c r="D37" s="7" t="s">
        <v>2834</v>
      </c>
      <c r="E37" s="7" t="s">
        <v>1286</v>
      </c>
      <c r="F37" s="7" t="s">
        <v>1288</v>
      </c>
      <c r="G37" s="7" t="s">
        <v>1582</v>
      </c>
      <c r="H37" s="205">
        <v>1539239</v>
      </c>
      <c r="I37" s="6">
        <v>427677.45</v>
      </c>
      <c r="J37" s="6">
        <v>727917.48</v>
      </c>
      <c r="K37" s="6">
        <v>300240.03000000003</v>
      </c>
      <c r="L37" s="6">
        <v>0</v>
      </c>
      <c r="M37" s="6">
        <v>300240.03000000003</v>
      </c>
      <c r="O37" s="148"/>
    </row>
    <row r="38" spans="2:15" ht="60">
      <c r="B38" s="9" t="s">
        <v>1509</v>
      </c>
      <c r="C38" s="7" t="s">
        <v>1510</v>
      </c>
      <c r="D38" s="7" t="s">
        <v>3166</v>
      </c>
      <c r="E38" s="7" t="s">
        <v>1509</v>
      </c>
      <c r="F38" s="7" t="s">
        <v>3264</v>
      </c>
      <c r="G38" s="7" t="s">
        <v>1582</v>
      </c>
      <c r="H38" s="205">
        <v>825686</v>
      </c>
      <c r="I38" s="6">
        <v>267568.2</v>
      </c>
      <c r="J38" s="6">
        <v>438075.48</v>
      </c>
      <c r="K38" s="6">
        <v>170507.28</v>
      </c>
      <c r="L38" s="6">
        <v>0</v>
      </c>
      <c r="M38" s="6">
        <v>170507.28</v>
      </c>
      <c r="O38" s="148"/>
    </row>
    <row r="39" spans="2:15" ht="60">
      <c r="B39" s="9" t="s">
        <v>1292</v>
      </c>
      <c r="C39" s="7" t="s">
        <v>1293</v>
      </c>
      <c r="D39" s="7" t="s">
        <v>2835</v>
      </c>
      <c r="E39" s="7" t="s">
        <v>1292</v>
      </c>
      <c r="F39" s="7" t="s">
        <v>1294</v>
      </c>
      <c r="G39" s="7" t="s">
        <v>1582</v>
      </c>
      <c r="H39" s="205">
        <v>623528</v>
      </c>
      <c r="I39" s="6">
        <v>253542.08</v>
      </c>
      <c r="J39" s="6">
        <v>319523.32</v>
      </c>
      <c r="K39" s="6">
        <v>65981.240000000005</v>
      </c>
      <c r="L39" s="6">
        <v>0</v>
      </c>
      <c r="M39" s="6">
        <v>65981.240000000005</v>
      </c>
      <c r="O39" s="148"/>
    </row>
    <row r="40" spans="2:15" ht="75">
      <c r="B40" s="9" t="s">
        <v>3275</v>
      </c>
      <c r="C40" s="7" t="s">
        <v>3274</v>
      </c>
      <c r="D40" s="7" t="s">
        <v>3276</v>
      </c>
      <c r="E40" s="7" t="s">
        <v>3275</v>
      </c>
      <c r="F40" s="7" t="s">
        <v>3277</v>
      </c>
      <c r="G40" s="7" t="s">
        <v>1582</v>
      </c>
      <c r="H40" s="205">
        <v>122100</v>
      </c>
      <c r="I40" s="6">
        <v>39348.54</v>
      </c>
      <c r="J40" s="6">
        <v>51678.66</v>
      </c>
      <c r="K40" s="6">
        <v>12330.12</v>
      </c>
      <c r="L40" s="6">
        <v>0</v>
      </c>
      <c r="M40" s="6">
        <v>12330.12</v>
      </c>
      <c r="O40" s="148"/>
    </row>
    <row r="41" spans="2:15" ht="30">
      <c r="B41" s="9" t="s">
        <v>1298</v>
      </c>
      <c r="C41" s="7" t="s">
        <v>1299</v>
      </c>
      <c r="D41" s="7" t="s">
        <v>2836</v>
      </c>
      <c r="E41" s="7" t="s">
        <v>1298</v>
      </c>
      <c r="F41" s="7" t="s">
        <v>1300</v>
      </c>
      <c r="G41" s="7" t="s">
        <v>1582</v>
      </c>
      <c r="H41" s="205">
        <v>3310420</v>
      </c>
      <c r="I41" s="6">
        <v>887364.88</v>
      </c>
      <c r="J41" s="6">
        <v>1200594</v>
      </c>
      <c r="K41" s="6">
        <v>313229.12</v>
      </c>
      <c r="L41" s="6">
        <v>0</v>
      </c>
      <c r="M41" s="6">
        <v>313229.12</v>
      </c>
      <c r="O41" s="148"/>
    </row>
    <row r="42" spans="2:15" ht="45">
      <c r="B42" s="9" t="s">
        <v>1301</v>
      </c>
      <c r="C42" s="7" t="s">
        <v>1302</v>
      </c>
      <c r="D42" s="7" t="s">
        <v>2837</v>
      </c>
      <c r="E42" s="7" t="s">
        <v>1301</v>
      </c>
      <c r="F42" s="7" t="s">
        <v>3254</v>
      </c>
      <c r="G42" s="7" t="s">
        <v>1582</v>
      </c>
      <c r="H42" s="205">
        <v>4023070</v>
      </c>
      <c r="I42" s="6">
        <v>726363</v>
      </c>
      <c r="J42" s="6">
        <v>990975.48</v>
      </c>
      <c r="K42" s="6">
        <v>264612.47999999998</v>
      </c>
      <c r="L42" s="6">
        <v>0</v>
      </c>
      <c r="M42" s="6">
        <v>264612.47999999998</v>
      </c>
      <c r="O42" s="148"/>
    </row>
    <row r="43" spans="2:15">
      <c r="B43" s="9" t="s">
        <v>1304</v>
      </c>
      <c r="C43" s="7" t="s">
        <v>1305</v>
      </c>
      <c r="D43" s="7" t="s">
        <v>2838</v>
      </c>
      <c r="E43" s="7" t="s">
        <v>1304</v>
      </c>
      <c r="F43" s="7" t="s">
        <v>1306</v>
      </c>
      <c r="G43" s="7" t="s">
        <v>1582</v>
      </c>
      <c r="H43" s="205">
        <v>3225492</v>
      </c>
      <c r="I43" s="6">
        <v>799194.14</v>
      </c>
      <c r="J43" s="6">
        <v>1061475.24</v>
      </c>
      <c r="K43" s="6">
        <v>262281.09999999998</v>
      </c>
      <c r="L43" s="6">
        <v>0</v>
      </c>
      <c r="M43" s="6">
        <v>262281.09999999998</v>
      </c>
      <c r="O43" s="148"/>
    </row>
    <row r="44" spans="2:15" ht="30">
      <c r="B44" s="9" t="s">
        <v>2189</v>
      </c>
      <c r="C44" s="7" t="s">
        <v>2190</v>
      </c>
      <c r="D44" s="7" t="s">
        <v>3167</v>
      </c>
      <c r="E44" s="7" t="s">
        <v>2189</v>
      </c>
      <c r="F44" s="7" t="s">
        <v>3265</v>
      </c>
      <c r="G44" s="7" t="s">
        <v>1582</v>
      </c>
      <c r="H44" s="205">
        <v>5951</v>
      </c>
      <c r="I44" s="6">
        <v>1060</v>
      </c>
      <c r="J44" s="6">
        <v>1656.24</v>
      </c>
      <c r="K44" s="6">
        <v>596.24</v>
      </c>
      <c r="L44" s="6">
        <v>0</v>
      </c>
      <c r="M44" s="6">
        <v>596.24</v>
      </c>
      <c r="O44" s="148"/>
    </row>
    <row r="45" spans="2:15" ht="60">
      <c r="B45" s="9" t="s">
        <v>1307</v>
      </c>
      <c r="C45" s="7" t="s">
        <v>1308</v>
      </c>
      <c r="D45" s="7" t="s">
        <v>2839</v>
      </c>
      <c r="E45" s="7" t="s">
        <v>1307</v>
      </c>
      <c r="F45" s="7" t="s">
        <v>1309</v>
      </c>
      <c r="G45" s="7" t="s">
        <v>1582</v>
      </c>
      <c r="H45" s="205">
        <v>19089100</v>
      </c>
      <c r="I45" s="6">
        <v>4314195.0999999996</v>
      </c>
      <c r="J45" s="6">
        <v>5927776.6600000001</v>
      </c>
      <c r="K45" s="6">
        <v>1613581.56</v>
      </c>
      <c r="L45" s="6">
        <v>0</v>
      </c>
      <c r="M45" s="6">
        <v>1613581.56</v>
      </c>
      <c r="O45" s="148"/>
    </row>
    <row r="46" spans="2:15" ht="60">
      <c r="B46" s="9" t="s">
        <v>1331</v>
      </c>
      <c r="C46" s="7" t="s">
        <v>1332</v>
      </c>
      <c r="D46" s="7" t="s">
        <v>2841</v>
      </c>
      <c r="E46" s="7" t="s">
        <v>1331</v>
      </c>
      <c r="F46" s="7" t="s">
        <v>1333</v>
      </c>
      <c r="G46" s="7" t="s">
        <v>1582</v>
      </c>
      <c r="H46" s="205">
        <v>4608765</v>
      </c>
      <c r="I46" s="6">
        <v>1238019.4099999999</v>
      </c>
      <c r="J46" s="6">
        <v>1605191.16</v>
      </c>
      <c r="K46" s="6">
        <v>367171.75</v>
      </c>
      <c r="L46" s="6">
        <v>0</v>
      </c>
      <c r="M46" s="6">
        <v>367171.75</v>
      </c>
      <c r="O46" s="148"/>
    </row>
    <row r="47" spans="2:15">
      <c r="B47" s="9" t="s">
        <v>1334</v>
      </c>
      <c r="C47" s="7" t="s">
        <v>1335</v>
      </c>
      <c r="D47" s="7" t="s">
        <v>2842</v>
      </c>
      <c r="E47" s="7" t="s">
        <v>1334</v>
      </c>
      <c r="F47" s="7" t="s">
        <v>1336</v>
      </c>
      <c r="G47" s="7" t="s">
        <v>1582</v>
      </c>
      <c r="H47" s="205">
        <v>12935700</v>
      </c>
      <c r="I47" s="6">
        <v>2764364.62</v>
      </c>
      <c r="J47" s="6">
        <v>4700401.4800000004</v>
      </c>
      <c r="K47" s="6">
        <v>1936036.86</v>
      </c>
      <c r="L47" s="6">
        <v>0</v>
      </c>
      <c r="M47" s="6">
        <v>1936036.86</v>
      </c>
      <c r="O47" s="148"/>
    </row>
    <row r="48" spans="2:15" ht="60">
      <c r="B48" s="9" t="s">
        <v>3617</v>
      </c>
      <c r="C48" s="7" t="s">
        <v>3393</v>
      </c>
      <c r="D48" s="7" t="s">
        <v>3618</v>
      </c>
      <c r="E48" s="7" t="s">
        <v>3617</v>
      </c>
      <c r="F48" s="7" t="s">
        <v>3619</v>
      </c>
      <c r="G48" s="7" t="s">
        <v>1582</v>
      </c>
      <c r="H48" s="205">
        <v>878000</v>
      </c>
      <c r="I48" s="6">
        <v>239866.32</v>
      </c>
      <c r="J48" s="6">
        <v>344605.26</v>
      </c>
      <c r="K48" s="6">
        <v>104738.94</v>
      </c>
      <c r="L48" s="6">
        <v>0</v>
      </c>
      <c r="M48" s="6">
        <v>104738.94</v>
      </c>
      <c r="O48" s="148"/>
    </row>
    <row r="49" spans="2:15" ht="60">
      <c r="B49" s="9" t="s">
        <v>1340</v>
      </c>
      <c r="C49" s="7" t="s">
        <v>1341</v>
      </c>
      <c r="D49" s="7" t="s">
        <v>2843</v>
      </c>
      <c r="E49" s="7" t="s">
        <v>1340</v>
      </c>
      <c r="F49" s="7" t="s">
        <v>1342</v>
      </c>
      <c r="G49" s="7" t="s">
        <v>1582</v>
      </c>
      <c r="H49" s="205">
        <v>14942520</v>
      </c>
      <c r="I49" s="6">
        <v>3357965</v>
      </c>
      <c r="J49" s="6">
        <v>4336455.5</v>
      </c>
      <c r="K49" s="6">
        <v>978490.5</v>
      </c>
      <c r="L49" s="6">
        <v>0</v>
      </c>
      <c r="M49" s="6">
        <v>978490.5</v>
      </c>
      <c r="O49" s="148"/>
    </row>
    <row r="50" spans="2:15" ht="60">
      <c r="B50" s="9" t="s">
        <v>1343</v>
      </c>
      <c r="C50" s="7" t="s">
        <v>1344</v>
      </c>
      <c r="D50" s="7" t="s">
        <v>2844</v>
      </c>
      <c r="E50" s="7" t="s">
        <v>1343</v>
      </c>
      <c r="F50" s="7" t="s">
        <v>1345</v>
      </c>
      <c r="G50" s="7" t="s">
        <v>1582</v>
      </c>
      <c r="H50" s="205">
        <v>3494700</v>
      </c>
      <c r="I50" s="6">
        <v>1158452.8</v>
      </c>
      <c r="J50" s="6">
        <v>1533580.44</v>
      </c>
      <c r="K50" s="6">
        <v>375127.64</v>
      </c>
      <c r="L50" s="6">
        <v>0</v>
      </c>
      <c r="M50" s="6">
        <v>375127.64</v>
      </c>
      <c r="O50" s="148"/>
    </row>
    <row r="51" spans="2:15">
      <c r="B51" s="9" t="s">
        <v>1346</v>
      </c>
      <c r="C51" s="7" t="s">
        <v>1347</v>
      </c>
      <c r="D51" s="7" t="s">
        <v>2845</v>
      </c>
      <c r="E51" s="7" t="s">
        <v>1346</v>
      </c>
      <c r="F51" s="7" t="s">
        <v>1348</v>
      </c>
      <c r="G51" s="7" t="s">
        <v>1582</v>
      </c>
      <c r="H51" s="205">
        <v>2444550</v>
      </c>
      <c r="I51" s="6">
        <v>466381.32</v>
      </c>
      <c r="J51" s="6">
        <v>880103.24</v>
      </c>
      <c r="K51" s="6">
        <v>413721.92</v>
      </c>
      <c r="L51" s="6">
        <v>0</v>
      </c>
      <c r="M51" s="6">
        <v>413721.92</v>
      </c>
      <c r="O51" s="148"/>
    </row>
    <row r="52" spans="2:15" ht="30">
      <c r="B52" s="9" t="s">
        <v>1349</v>
      </c>
      <c r="C52" s="7" t="s">
        <v>1350</v>
      </c>
      <c r="D52" s="7" t="s">
        <v>2846</v>
      </c>
      <c r="E52" s="7" t="s">
        <v>1349</v>
      </c>
      <c r="F52" s="7" t="s">
        <v>1351</v>
      </c>
      <c r="G52" s="7" t="s">
        <v>1582</v>
      </c>
      <c r="H52" s="205">
        <v>9717921</v>
      </c>
      <c r="I52" s="6">
        <v>2520351.02</v>
      </c>
      <c r="J52" s="6">
        <v>3067908.58</v>
      </c>
      <c r="K52" s="6">
        <v>547557.56000000006</v>
      </c>
      <c r="L52" s="6">
        <v>0</v>
      </c>
      <c r="M52" s="6">
        <v>547557.56000000006</v>
      </c>
      <c r="O52" s="148"/>
    </row>
    <row r="53" spans="2:15" ht="75">
      <c r="B53" s="9" t="s">
        <v>2801</v>
      </c>
      <c r="C53" s="7" t="s">
        <v>2778</v>
      </c>
      <c r="D53" s="7" t="s">
        <v>2847</v>
      </c>
      <c r="E53" s="7" t="s">
        <v>2801</v>
      </c>
      <c r="F53" s="7" t="s">
        <v>3249</v>
      </c>
      <c r="G53" s="7" t="s">
        <v>1609</v>
      </c>
      <c r="H53" s="205">
        <v>2669021</v>
      </c>
      <c r="I53" s="6">
        <v>1350741.8</v>
      </c>
      <c r="J53" s="6">
        <v>2289521.2400000002</v>
      </c>
      <c r="K53" s="6">
        <v>938779.44</v>
      </c>
      <c r="L53" s="6">
        <v>0</v>
      </c>
      <c r="M53" s="6">
        <v>938779.44</v>
      </c>
      <c r="O53" s="148"/>
    </row>
    <row r="54" spans="2:15" ht="45">
      <c r="B54" s="9" t="s">
        <v>1354</v>
      </c>
      <c r="C54" s="7" t="s">
        <v>1355</v>
      </c>
      <c r="D54" s="7" t="s">
        <v>2848</v>
      </c>
      <c r="E54" s="7" t="s">
        <v>1354</v>
      </c>
      <c r="F54" s="7" t="s">
        <v>1356</v>
      </c>
      <c r="G54" s="7" t="s">
        <v>1582</v>
      </c>
      <c r="H54" s="205">
        <v>17309700</v>
      </c>
      <c r="I54" s="6">
        <v>5256111.38</v>
      </c>
      <c r="J54" s="6">
        <v>5240971.6399999997</v>
      </c>
      <c r="K54" s="6">
        <v>-15139.74</v>
      </c>
      <c r="L54" s="6">
        <v>0</v>
      </c>
      <c r="M54" s="6">
        <v>-15139.74</v>
      </c>
      <c r="O54" s="148"/>
    </row>
    <row r="55" spans="2:15">
      <c r="B55" s="9" t="s">
        <v>1357</v>
      </c>
      <c r="C55" s="7" t="s">
        <v>1358</v>
      </c>
      <c r="D55" s="7" t="s">
        <v>2849</v>
      </c>
      <c r="E55" s="7" t="s">
        <v>1357</v>
      </c>
      <c r="F55" s="7" t="s">
        <v>1359</v>
      </c>
      <c r="G55" s="7" t="s">
        <v>1582</v>
      </c>
      <c r="H55" s="205">
        <v>5552484</v>
      </c>
      <c r="I55" s="6">
        <v>1829093</v>
      </c>
      <c r="J55" s="6">
        <v>2478946</v>
      </c>
      <c r="K55" s="6">
        <v>649853</v>
      </c>
      <c r="L55" s="6">
        <v>0</v>
      </c>
      <c r="M55" s="6">
        <v>649853</v>
      </c>
      <c r="O55" s="148"/>
    </row>
    <row r="56" spans="2:15" ht="30">
      <c r="B56" s="9" t="s">
        <v>1518</v>
      </c>
      <c r="C56" s="7" t="s">
        <v>1519</v>
      </c>
      <c r="D56" s="7" t="s">
        <v>2850</v>
      </c>
      <c r="E56" s="7" t="s">
        <v>1518</v>
      </c>
      <c r="F56" s="7" t="s">
        <v>1520</v>
      </c>
      <c r="G56" s="7" t="s">
        <v>1582</v>
      </c>
      <c r="H56" s="205">
        <v>4875613</v>
      </c>
      <c r="I56" s="6">
        <v>958646.16</v>
      </c>
      <c r="J56" s="6">
        <v>1698477.84</v>
      </c>
      <c r="K56" s="6">
        <v>739831.68</v>
      </c>
      <c r="L56" s="6">
        <v>0</v>
      </c>
      <c r="M56" s="6">
        <v>739831.68</v>
      </c>
      <c r="O56" s="148"/>
    </row>
  </sheetData>
  <autoFilter ref="A2:V56" xr:uid="{2A06C684-4B58-465F-9360-F5C6B27568D6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ID xmlns="f366c82d-602b-473b-b347-900e046777c0" xsi:nil="true"/>
    <_dlc_DocId xmlns="92d3b7a5-8da5-4615-950f-0681d7046a28">Y2PHC7Y2YW5Y-101495679-23509</_dlc_DocId>
    <_dlc_DocIdUrl xmlns="92d3b7a5-8da5-4615-950f-0681d7046a28">
      <Url>https://txhhs.sharepoint.com/sites/pf/hs/_layouts/15/DocIdRedir.aspx?ID=Y2PHC7Y2YW5Y-101495679-23509</Url>
      <Description>Y2PHC7Y2YW5Y-101495679-23509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E850AA233B2843A720BA9C6BA048A8" ma:contentTypeVersion="15" ma:contentTypeDescription="Create a new document." ma:contentTypeScope="" ma:versionID="2927bc043ceb1849facceff55b55b950">
  <xsd:schema xmlns:xsd="http://www.w3.org/2001/XMLSchema" xmlns:xs="http://www.w3.org/2001/XMLSchema" xmlns:p="http://schemas.microsoft.com/office/2006/metadata/properties" xmlns:ns2="92d3b7a5-8da5-4615-950f-0681d7046a28" xmlns:ns3="f366c82d-602b-473b-b347-900e046777c0" targetNamespace="http://schemas.microsoft.com/office/2006/metadata/properties" ma:root="true" ma:fieldsID="9edee6ed613b9bf305c42a46df6faf28" ns2:_="" ns3:_="">
    <xsd:import namespace="92d3b7a5-8da5-4615-950f-0681d7046a28"/>
    <xsd:import namespace="f366c82d-602b-473b-b347-900e046777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_x0020_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66c82d-602b-473b-b347-900e046777c0" elementFormDefault="qualified">
    <xsd:import namespace="http://schemas.microsoft.com/office/2006/documentManagement/types"/>
    <xsd:import namespace="http://schemas.microsoft.com/office/infopath/2007/PartnerControls"/>
    <xsd:element name="Project_x0020_ID" ma:index="7" nillable="true" ma:displayName="Project ID" ma:indexed="true" ma:internalName="Project_x0020_ID" ma:readOnly="false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CB01A2A6-CB31-4CC9-AE2F-23378468A901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92d3b7a5-8da5-4615-950f-0681d7046a28"/>
    <ds:schemaRef ds:uri="http://purl.org/dc/terms/"/>
    <ds:schemaRef ds:uri="http://schemas.microsoft.com/office/infopath/2007/PartnerControls"/>
    <ds:schemaRef ds:uri="f366c82d-602b-473b-b347-900e046777c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A2B05B9-D849-4EC0-8168-A2AFBE0D59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F8E724-50E9-4A25-96AA-F14504925B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f366c82d-602b-473b-b347-900e046777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B13DEBF-514F-4170-9FFD-4B3A2D145DA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Key</vt:lpstr>
      <vt:lpstr>IGT Commitment Suggestions</vt:lpstr>
      <vt:lpstr>Summary</vt:lpstr>
      <vt:lpstr>90% of ACR</vt:lpstr>
      <vt:lpstr>CHIRP Payment Calc</vt:lpstr>
      <vt:lpstr>FeeCalc</vt:lpstr>
      <vt:lpstr>2023 IP UPL Data</vt:lpstr>
      <vt:lpstr>2023 OP UPL Data</vt:lpstr>
      <vt:lpstr>2023 IMD UPL Data</vt:lpstr>
      <vt:lpstr>Total Dollars</vt:lpstr>
      <vt:lpstr>Final PGY4 AA Payment Summary</vt:lpstr>
      <vt:lpstr>MCO IMD Query from 2021 UPL</vt:lpstr>
      <vt:lpstr>Admin</vt:lpstr>
      <vt:lpstr>FMAP_StateShr</vt:lpstr>
      <vt:lpstr>Premium_Tax</vt:lpstr>
      <vt:lpstr>Risk_Margin___STAR</vt:lpstr>
      <vt:lpstr>Risk_Margin___STAR_PLUS</vt:lpstr>
      <vt:lpstr>Total___STAR</vt:lpstr>
      <vt:lpstr>Total___STAR_PLUS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Fine,Mance (HHSC)</dc:creator>
  <cp:lastModifiedBy>Dutcher,James (HHSC)</cp:lastModifiedBy>
  <cp:lastPrinted>2021-01-25T19:40:18Z</cp:lastPrinted>
  <dcterms:created xsi:type="dcterms:W3CDTF">2020-03-02T16:04:44Z</dcterms:created>
  <dcterms:modified xsi:type="dcterms:W3CDTF">2023-06-28T12:56:21Z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0x010100D5E850AA233B2843A720BA9C6BA048A8</vt:lpwstr>
  </property>
  <property fmtid="{D5CDD505-2E9C-101B-9397-08002B2CF9AE}" pid="3" name="_dlc_DocIdItemGuid">
    <vt:lpwstr>3a0fc60a-9ba5-4009-b149-e2211cb19fe3</vt:lpwstr>
  </property>
  <property fmtid="{D5CDD505-2E9C-101B-9397-08002B2CF9AE}" pid="4" name="MediaServiceImageTags">
    <vt:lpwstr/>
  </property>
  <property fmtid="{D5CDD505-2E9C-101B-9397-08002B2CF9AE}" pid="5" name="_ExtendedDescription">
    <vt:lpwstr/>
  </property>
</Properties>
</file>